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ELLS\Documents\"/>
    </mc:Choice>
  </mc:AlternateContent>
  <bookViews>
    <workbookView xWindow="0" yWindow="0" windowWidth="23040" windowHeight="9084"/>
  </bookViews>
  <sheets>
    <sheet name="RegistrationDetailedReport20201" sheetId="1" r:id="rId1"/>
  </sheets>
  <calcPr calcId="0"/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B2" i="1"/>
  <c r="O2" i="1"/>
  <c r="P2" i="1"/>
  <c r="Q2" i="1"/>
  <c r="S2" i="1"/>
  <c r="T2" i="1"/>
  <c r="U2" i="1"/>
  <c r="W2" i="1"/>
  <c r="X2" i="1"/>
  <c r="Y2" i="1"/>
  <c r="Z2" i="1"/>
  <c r="AA2" i="1"/>
  <c r="B3" i="1"/>
  <c r="O3" i="1"/>
  <c r="P3" i="1"/>
  <c r="Q3" i="1"/>
  <c r="S3" i="1"/>
  <c r="T3" i="1"/>
  <c r="U3" i="1"/>
  <c r="W3" i="1"/>
  <c r="X3" i="1"/>
  <c r="Y3" i="1"/>
  <c r="Z3" i="1"/>
  <c r="AA3" i="1"/>
  <c r="B4" i="1"/>
  <c r="O4" i="1"/>
  <c r="P4" i="1"/>
  <c r="Q4" i="1"/>
  <c r="S4" i="1"/>
  <c r="T4" i="1"/>
  <c r="U4" i="1"/>
  <c r="W4" i="1"/>
  <c r="X4" i="1"/>
  <c r="Y4" i="1"/>
  <c r="Z4" i="1"/>
  <c r="AA4" i="1"/>
  <c r="B5" i="1"/>
  <c r="O5" i="1"/>
  <c r="P5" i="1"/>
  <c r="Q5" i="1"/>
  <c r="S5" i="1"/>
  <c r="T5" i="1"/>
  <c r="U5" i="1"/>
  <c r="W5" i="1"/>
  <c r="X5" i="1"/>
  <c r="Y5" i="1"/>
  <c r="Z5" i="1"/>
  <c r="AA5" i="1"/>
  <c r="B6" i="1"/>
  <c r="O6" i="1"/>
  <c r="P6" i="1"/>
  <c r="Q6" i="1"/>
  <c r="S6" i="1"/>
  <c r="T6" i="1"/>
  <c r="U6" i="1"/>
  <c r="W6" i="1"/>
  <c r="X6" i="1"/>
  <c r="Y6" i="1"/>
  <c r="Z6" i="1"/>
  <c r="AA6" i="1"/>
  <c r="B7" i="1"/>
  <c r="O7" i="1"/>
  <c r="P7" i="1"/>
  <c r="Q7" i="1"/>
  <c r="S7" i="1"/>
  <c r="T7" i="1"/>
  <c r="U7" i="1"/>
  <c r="W7" i="1"/>
  <c r="X7" i="1"/>
  <c r="Y7" i="1"/>
  <c r="Z7" i="1"/>
  <c r="AA7" i="1"/>
  <c r="B8" i="1"/>
  <c r="O8" i="1"/>
  <c r="P8" i="1"/>
  <c r="Q8" i="1"/>
  <c r="S8" i="1"/>
  <c r="T8" i="1"/>
  <c r="U8" i="1"/>
  <c r="W8" i="1"/>
  <c r="X8" i="1"/>
  <c r="Y8" i="1"/>
  <c r="Z8" i="1"/>
  <c r="AA8" i="1"/>
  <c r="B9" i="1"/>
  <c r="O9" i="1"/>
  <c r="P9" i="1"/>
  <c r="Q9" i="1"/>
  <c r="S9" i="1"/>
  <c r="T9" i="1"/>
  <c r="U9" i="1"/>
  <c r="W9" i="1"/>
  <c r="X9" i="1"/>
  <c r="Y9" i="1"/>
  <c r="Z9" i="1"/>
  <c r="AA9" i="1"/>
  <c r="B10" i="1"/>
  <c r="O10" i="1"/>
  <c r="P10" i="1"/>
  <c r="Q10" i="1"/>
  <c r="S10" i="1"/>
  <c r="T10" i="1"/>
  <c r="U10" i="1"/>
  <c r="W10" i="1"/>
  <c r="X10" i="1"/>
  <c r="Y10" i="1"/>
  <c r="Z10" i="1"/>
  <c r="AA10" i="1"/>
  <c r="B11" i="1"/>
  <c r="O11" i="1"/>
  <c r="P11" i="1"/>
  <c r="Q11" i="1"/>
  <c r="S11" i="1"/>
  <c r="T11" i="1"/>
  <c r="U11" i="1"/>
  <c r="W11" i="1"/>
  <c r="X11" i="1"/>
  <c r="Y11" i="1"/>
  <c r="Z11" i="1"/>
  <c r="AA11" i="1"/>
  <c r="B12" i="1"/>
  <c r="O12" i="1"/>
  <c r="P12" i="1"/>
  <c r="Q12" i="1"/>
  <c r="S12" i="1"/>
  <c r="T12" i="1"/>
  <c r="U12" i="1"/>
  <c r="W12" i="1"/>
  <c r="X12" i="1"/>
  <c r="Y12" i="1"/>
  <c r="Z12" i="1"/>
  <c r="AA12" i="1"/>
  <c r="B13" i="1"/>
  <c r="O13" i="1"/>
  <c r="P13" i="1"/>
  <c r="Q13" i="1"/>
  <c r="S13" i="1"/>
  <c r="T13" i="1"/>
  <c r="U13" i="1"/>
  <c r="W13" i="1"/>
  <c r="X13" i="1"/>
  <c r="Y13" i="1"/>
  <c r="Z13" i="1"/>
  <c r="AA13" i="1"/>
  <c r="B14" i="1"/>
  <c r="O14" i="1"/>
  <c r="P14" i="1"/>
  <c r="Q14" i="1"/>
  <c r="S14" i="1"/>
  <c r="T14" i="1"/>
  <c r="U14" i="1"/>
  <c r="W14" i="1"/>
  <c r="X14" i="1"/>
  <c r="Y14" i="1"/>
  <c r="Z14" i="1"/>
  <c r="AA14" i="1"/>
  <c r="B15" i="1"/>
  <c r="O15" i="1"/>
  <c r="P15" i="1"/>
  <c r="Q15" i="1"/>
  <c r="S15" i="1"/>
  <c r="T15" i="1"/>
  <c r="U15" i="1"/>
  <c r="W15" i="1"/>
  <c r="X15" i="1"/>
  <c r="Y15" i="1"/>
  <c r="Z15" i="1"/>
  <c r="AA15" i="1"/>
  <c r="B16" i="1"/>
  <c r="O16" i="1"/>
  <c r="P16" i="1"/>
  <c r="Q16" i="1"/>
  <c r="S16" i="1"/>
  <c r="T16" i="1"/>
  <c r="U16" i="1"/>
  <c r="W16" i="1"/>
  <c r="X16" i="1"/>
  <c r="Y16" i="1"/>
  <c r="Z16" i="1"/>
  <c r="AA16" i="1"/>
  <c r="B17" i="1"/>
  <c r="O17" i="1"/>
  <c r="P17" i="1"/>
  <c r="Q17" i="1"/>
  <c r="S17" i="1"/>
  <c r="T17" i="1"/>
  <c r="U17" i="1"/>
  <c r="W17" i="1"/>
  <c r="X17" i="1"/>
  <c r="Y17" i="1"/>
  <c r="Z17" i="1"/>
  <c r="AA17" i="1"/>
  <c r="B18" i="1"/>
  <c r="O18" i="1"/>
  <c r="P18" i="1"/>
  <c r="Q18" i="1"/>
  <c r="S18" i="1"/>
  <c r="T18" i="1"/>
  <c r="U18" i="1"/>
  <c r="W18" i="1"/>
  <c r="X18" i="1"/>
  <c r="Y18" i="1"/>
  <c r="Z18" i="1"/>
  <c r="AA18" i="1"/>
  <c r="B19" i="1"/>
  <c r="O19" i="1"/>
  <c r="P19" i="1"/>
  <c r="Q19" i="1"/>
  <c r="S19" i="1"/>
  <c r="T19" i="1"/>
  <c r="U19" i="1"/>
  <c r="W19" i="1"/>
  <c r="X19" i="1"/>
  <c r="Y19" i="1"/>
  <c r="Z19" i="1"/>
  <c r="AA19" i="1"/>
  <c r="B20" i="1"/>
  <c r="O20" i="1"/>
  <c r="P20" i="1"/>
  <c r="Q20" i="1"/>
  <c r="S20" i="1"/>
  <c r="T20" i="1"/>
  <c r="U20" i="1"/>
  <c r="W20" i="1"/>
  <c r="X20" i="1"/>
  <c r="Y20" i="1"/>
  <c r="Z20" i="1"/>
  <c r="AA20" i="1"/>
  <c r="B21" i="1"/>
  <c r="O21" i="1"/>
  <c r="P21" i="1"/>
  <c r="Q21" i="1"/>
  <c r="S21" i="1"/>
  <c r="T21" i="1"/>
  <c r="U21" i="1"/>
  <c r="W21" i="1"/>
  <c r="X21" i="1"/>
  <c r="Y21" i="1"/>
  <c r="Z21" i="1"/>
  <c r="AA21" i="1"/>
  <c r="B22" i="1"/>
  <c r="O22" i="1"/>
  <c r="P22" i="1"/>
  <c r="Q22" i="1"/>
  <c r="S22" i="1"/>
  <c r="T22" i="1"/>
  <c r="U22" i="1"/>
  <c r="W22" i="1"/>
  <c r="X22" i="1"/>
  <c r="Y22" i="1"/>
  <c r="Z22" i="1"/>
  <c r="AA22" i="1"/>
  <c r="B23" i="1"/>
  <c r="O23" i="1"/>
  <c r="P23" i="1"/>
  <c r="Q23" i="1"/>
  <c r="S23" i="1"/>
  <c r="T23" i="1"/>
  <c r="U23" i="1"/>
  <c r="W23" i="1"/>
  <c r="X23" i="1"/>
  <c r="Y23" i="1"/>
  <c r="Z23" i="1"/>
  <c r="AA23" i="1"/>
  <c r="B24" i="1"/>
  <c r="O24" i="1"/>
  <c r="P24" i="1"/>
  <c r="Q24" i="1"/>
  <c r="S24" i="1"/>
  <c r="T24" i="1"/>
  <c r="U24" i="1"/>
  <c r="W24" i="1"/>
  <c r="X24" i="1"/>
  <c r="Y24" i="1"/>
  <c r="Z24" i="1"/>
  <c r="AA24" i="1"/>
  <c r="B25" i="1"/>
  <c r="O25" i="1"/>
  <c r="P25" i="1"/>
  <c r="Q25" i="1"/>
  <c r="S25" i="1"/>
  <c r="T25" i="1"/>
  <c r="U25" i="1"/>
  <c r="W25" i="1"/>
  <c r="X25" i="1"/>
  <c r="Y25" i="1"/>
  <c r="Z25" i="1"/>
  <c r="AA25" i="1"/>
  <c r="B26" i="1"/>
  <c r="O26" i="1"/>
  <c r="P26" i="1"/>
  <c r="Q26" i="1"/>
  <c r="S26" i="1"/>
  <c r="T26" i="1"/>
  <c r="U26" i="1"/>
  <c r="W26" i="1"/>
  <c r="X26" i="1"/>
  <c r="Y26" i="1"/>
  <c r="Z26" i="1"/>
  <c r="AA26" i="1"/>
  <c r="B27" i="1"/>
  <c r="O27" i="1"/>
  <c r="P27" i="1"/>
  <c r="Q27" i="1"/>
  <c r="S27" i="1"/>
  <c r="T27" i="1"/>
  <c r="U27" i="1"/>
  <c r="W27" i="1"/>
  <c r="X27" i="1"/>
  <c r="Y27" i="1"/>
  <c r="Z27" i="1"/>
  <c r="AA27" i="1"/>
  <c r="B28" i="1"/>
  <c r="O28" i="1"/>
  <c r="P28" i="1"/>
  <c r="Q28" i="1"/>
  <c r="S28" i="1"/>
  <c r="T28" i="1"/>
  <c r="U28" i="1"/>
  <c r="W28" i="1"/>
  <c r="X28" i="1"/>
  <c r="Y28" i="1"/>
  <c r="Z28" i="1"/>
  <c r="AA28" i="1"/>
  <c r="B29" i="1"/>
  <c r="O29" i="1"/>
  <c r="P29" i="1"/>
  <c r="Q29" i="1"/>
  <c r="S29" i="1"/>
  <c r="T29" i="1"/>
  <c r="U29" i="1"/>
  <c r="W29" i="1"/>
  <c r="X29" i="1"/>
  <c r="Y29" i="1"/>
  <c r="Z29" i="1"/>
  <c r="AA29" i="1"/>
  <c r="B30" i="1"/>
  <c r="O30" i="1"/>
  <c r="P30" i="1"/>
  <c r="Q30" i="1"/>
  <c r="S30" i="1"/>
  <c r="T30" i="1"/>
  <c r="U30" i="1"/>
  <c r="W30" i="1"/>
  <c r="X30" i="1"/>
  <c r="Y30" i="1"/>
  <c r="Z30" i="1"/>
  <c r="AA30" i="1"/>
  <c r="B31" i="1"/>
  <c r="O31" i="1"/>
  <c r="P31" i="1"/>
  <c r="Q31" i="1"/>
  <c r="S31" i="1"/>
  <c r="T31" i="1"/>
  <c r="U31" i="1"/>
  <c r="W31" i="1"/>
  <c r="X31" i="1"/>
  <c r="Y31" i="1"/>
  <c r="Z31" i="1"/>
  <c r="AA31" i="1"/>
  <c r="B32" i="1"/>
  <c r="O32" i="1"/>
  <c r="P32" i="1"/>
  <c r="Q32" i="1"/>
  <c r="S32" i="1"/>
  <c r="T32" i="1"/>
  <c r="U32" i="1"/>
  <c r="W32" i="1"/>
  <c r="X32" i="1"/>
  <c r="Y32" i="1"/>
  <c r="Z32" i="1"/>
  <c r="AA32" i="1"/>
  <c r="B33" i="1"/>
  <c r="O33" i="1"/>
  <c r="P33" i="1"/>
  <c r="Q33" i="1"/>
  <c r="S33" i="1"/>
  <c r="T33" i="1"/>
  <c r="U33" i="1"/>
  <c r="W33" i="1"/>
  <c r="X33" i="1"/>
  <c r="Y33" i="1"/>
  <c r="Z33" i="1"/>
  <c r="AA33" i="1"/>
  <c r="B34" i="1"/>
  <c r="O34" i="1"/>
  <c r="P34" i="1"/>
  <c r="Q34" i="1"/>
  <c r="S34" i="1"/>
  <c r="T34" i="1"/>
  <c r="U34" i="1"/>
  <c r="W34" i="1"/>
  <c r="X34" i="1"/>
  <c r="Y34" i="1"/>
  <c r="Z34" i="1"/>
  <c r="AA34" i="1"/>
  <c r="B35" i="1"/>
  <c r="O35" i="1"/>
  <c r="P35" i="1"/>
  <c r="Q35" i="1"/>
  <c r="S35" i="1"/>
  <c r="T35" i="1"/>
  <c r="U35" i="1"/>
  <c r="W35" i="1"/>
  <c r="X35" i="1"/>
  <c r="Y35" i="1"/>
  <c r="Z35" i="1"/>
  <c r="AA35" i="1"/>
  <c r="B36" i="1"/>
  <c r="O36" i="1"/>
  <c r="P36" i="1"/>
  <c r="Q36" i="1"/>
  <c r="S36" i="1"/>
  <c r="T36" i="1"/>
  <c r="U36" i="1"/>
  <c r="W36" i="1"/>
  <c r="X36" i="1"/>
  <c r="Y36" i="1"/>
  <c r="Z36" i="1"/>
  <c r="AA36" i="1"/>
  <c r="B37" i="1"/>
  <c r="O37" i="1"/>
  <c r="P37" i="1"/>
  <c r="Q37" i="1"/>
  <c r="S37" i="1"/>
  <c r="T37" i="1"/>
  <c r="U37" i="1"/>
  <c r="W37" i="1"/>
  <c r="X37" i="1"/>
  <c r="Y37" i="1"/>
  <c r="Z37" i="1"/>
  <c r="AA37" i="1"/>
  <c r="B38" i="1"/>
  <c r="O38" i="1"/>
  <c r="P38" i="1"/>
  <c r="Q38" i="1"/>
  <c r="S38" i="1"/>
  <c r="T38" i="1"/>
  <c r="U38" i="1"/>
  <c r="W38" i="1"/>
  <c r="X38" i="1"/>
  <c r="Y38" i="1"/>
  <c r="Z38" i="1"/>
  <c r="AA38" i="1"/>
  <c r="B39" i="1"/>
  <c r="O39" i="1"/>
  <c r="P39" i="1"/>
  <c r="Q39" i="1"/>
  <c r="S39" i="1"/>
  <c r="T39" i="1"/>
  <c r="U39" i="1"/>
  <c r="W39" i="1"/>
  <c r="X39" i="1"/>
  <c r="Y39" i="1"/>
  <c r="Z39" i="1"/>
  <c r="AA39" i="1"/>
  <c r="B40" i="1"/>
  <c r="O40" i="1"/>
  <c r="P40" i="1"/>
  <c r="Q40" i="1"/>
  <c r="S40" i="1"/>
  <c r="T40" i="1"/>
  <c r="U40" i="1"/>
  <c r="W40" i="1"/>
  <c r="X40" i="1"/>
  <c r="Y40" i="1"/>
  <c r="Z40" i="1"/>
  <c r="AA40" i="1"/>
  <c r="B41" i="1"/>
  <c r="O41" i="1"/>
  <c r="P41" i="1"/>
  <c r="Q41" i="1"/>
  <c r="S41" i="1"/>
  <c r="T41" i="1"/>
  <c r="U41" i="1"/>
  <c r="W41" i="1"/>
  <c r="X41" i="1"/>
  <c r="Y41" i="1"/>
  <c r="Z41" i="1"/>
  <c r="AA41" i="1"/>
  <c r="B42" i="1"/>
  <c r="O42" i="1"/>
  <c r="P42" i="1"/>
  <c r="Q42" i="1"/>
  <c r="S42" i="1"/>
  <c r="T42" i="1"/>
  <c r="U42" i="1"/>
  <c r="W42" i="1"/>
  <c r="X42" i="1"/>
  <c r="Y42" i="1"/>
  <c r="Z42" i="1"/>
  <c r="AA42" i="1"/>
  <c r="B43" i="1"/>
  <c r="O43" i="1"/>
  <c r="P43" i="1"/>
  <c r="Q43" i="1"/>
  <c r="S43" i="1"/>
  <c r="T43" i="1"/>
  <c r="U43" i="1"/>
  <c r="W43" i="1"/>
  <c r="X43" i="1"/>
  <c r="Y43" i="1"/>
  <c r="Z43" i="1"/>
  <c r="AA43" i="1"/>
  <c r="B44" i="1"/>
  <c r="O44" i="1"/>
  <c r="P44" i="1"/>
  <c r="Q44" i="1"/>
  <c r="S44" i="1"/>
  <c r="T44" i="1"/>
  <c r="U44" i="1"/>
  <c r="W44" i="1"/>
  <c r="X44" i="1"/>
  <c r="Y44" i="1"/>
  <c r="Z44" i="1"/>
  <c r="AA44" i="1"/>
  <c r="B45" i="1"/>
  <c r="O45" i="1"/>
  <c r="P45" i="1"/>
  <c r="Q45" i="1"/>
  <c r="S45" i="1"/>
  <c r="T45" i="1"/>
  <c r="U45" i="1"/>
  <c r="W45" i="1"/>
  <c r="X45" i="1"/>
  <c r="Y45" i="1"/>
  <c r="Z45" i="1"/>
  <c r="AA45" i="1"/>
  <c r="B46" i="1"/>
  <c r="O46" i="1"/>
  <c r="P46" i="1"/>
  <c r="Q46" i="1"/>
  <c r="S46" i="1"/>
  <c r="T46" i="1"/>
  <c r="U46" i="1"/>
  <c r="W46" i="1"/>
  <c r="X46" i="1"/>
  <c r="Y46" i="1"/>
  <c r="Z46" i="1"/>
  <c r="AA46" i="1"/>
  <c r="B47" i="1"/>
  <c r="O47" i="1"/>
  <c r="P47" i="1"/>
  <c r="Q47" i="1"/>
  <c r="S47" i="1"/>
  <c r="T47" i="1"/>
  <c r="U47" i="1"/>
  <c r="W47" i="1"/>
  <c r="X47" i="1"/>
  <c r="Y47" i="1"/>
  <c r="Z47" i="1"/>
  <c r="AA47" i="1"/>
  <c r="B48" i="1"/>
  <c r="O48" i="1"/>
  <c r="P48" i="1"/>
  <c r="Q48" i="1"/>
  <c r="S48" i="1"/>
  <c r="T48" i="1"/>
  <c r="U48" i="1"/>
  <c r="W48" i="1"/>
  <c r="X48" i="1"/>
  <c r="Y48" i="1"/>
  <c r="Z48" i="1"/>
  <c r="AA48" i="1"/>
  <c r="B49" i="1"/>
  <c r="O49" i="1"/>
  <c r="P49" i="1"/>
  <c r="Q49" i="1"/>
  <c r="S49" i="1"/>
  <c r="T49" i="1"/>
  <c r="U49" i="1"/>
  <c r="W49" i="1"/>
  <c r="X49" i="1"/>
  <c r="Y49" i="1"/>
  <c r="Z49" i="1"/>
  <c r="AA49" i="1"/>
  <c r="B50" i="1"/>
  <c r="O50" i="1"/>
  <c r="P50" i="1"/>
  <c r="Q50" i="1"/>
  <c r="S50" i="1"/>
  <c r="T50" i="1"/>
  <c r="U50" i="1"/>
  <c r="W50" i="1"/>
  <c r="X50" i="1"/>
  <c r="Y50" i="1"/>
  <c r="Z50" i="1"/>
  <c r="AA50" i="1"/>
  <c r="B51" i="1"/>
  <c r="O51" i="1"/>
  <c r="P51" i="1"/>
  <c r="Q51" i="1"/>
  <c r="S51" i="1"/>
  <c r="T51" i="1"/>
  <c r="U51" i="1"/>
  <c r="W51" i="1"/>
  <c r="X51" i="1"/>
  <c r="Y51" i="1"/>
  <c r="Z51" i="1"/>
  <c r="AA51" i="1"/>
  <c r="B52" i="1"/>
  <c r="O52" i="1"/>
  <c r="P52" i="1"/>
  <c r="Q52" i="1"/>
  <c r="S52" i="1"/>
  <c r="T52" i="1"/>
  <c r="U52" i="1"/>
  <c r="W52" i="1"/>
  <c r="X52" i="1"/>
  <c r="Y52" i="1"/>
  <c r="Z52" i="1"/>
  <c r="AA52" i="1"/>
  <c r="B53" i="1"/>
  <c r="O53" i="1"/>
  <c r="P53" i="1"/>
  <c r="Q53" i="1"/>
  <c r="S53" i="1"/>
  <c r="T53" i="1"/>
  <c r="U53" i="1"/>
  <c r="W53" i="1"/>
  <c r="X53" i="1"/>
  <c r="Y53" i="1"/>
  <c r="Z53" i="1"/>
  <c r="AA53" i="1"/>
  <c r="B54" i="1"/>
  <c r="O54" i="1"/>
  <c r="P54" i="1"/>
  <c r="Q54" i="1"/>
  <c r="S54" i="1"/>
  <c r="T54" i="1"/>
  <c r="U54" i="1"/>
  <c r="W54" i="1"/>
  <c r="X54" i="1"/>
  <c r="Y54" i="1"/>
  <c r="Z54" i="1"/>
  <c r="AA54" i="1"/>
  <c r="B55" i="1"/>
  <c r="O55" i="1"/>
  <c r="P55" i="1"/>
  <c r="Q55" i="1"/>
  <c r="S55" i="1"/>
  <c r="T55" i="1"/>
  <c r="U55" i="1"/>
  <c r="W55" i="1"/>
  <c r="X55" i="1"/>
  <c r="Y55" i="1"/>
  <c r="Z55" i="1"/>
  <c r="AA55" i="1"/>
  <c r="B56" i="1"/>
  <c r="O56" i="1"/>
  <c r="P56" i="1"/>
  <c r="Q56" i="1"/>
  <c r="S56" i="1"/>
  <c r="T56" i="1"/>
  <c r="U56" i="1"/>
  <c r="W56" i="1"/>
  <c r="X56" i="1"/>
  <c r="Y56" i="1"/>
  <c r="Z56" i="1"/>
  <c r="AA56" i="1"/>
  <c r="B57" i="1"/>
  <c r="O57" i="1"/>
  <c r="P57" i="1"/>
  <c r="Q57" i="1"/>
  <c r="S57" i="1"/>
  <c r="T57" i="1"/>
  <c r="U57" i="1"/>
  <c r="W57" i="1"/>
  <c r="X57" i="1"/>
  <c r="Y57" i="1"/>
  <c r="Z57" i="1"/>
  <c r="AA57" i="1"/>
  <c r="B58" i="1"/>
  <c r="O58" i="1"/>
  <c r="P58" i="1"/>
  <c r="Q58" i="1"/>
  <c r="S58" i="1"/>
  <c r="T58" i="1"/>
  <c r="U58" i="1"/>
  <c r="W58" i="1"/>
  <c r="X58" i="1"/>
  <c r="Y58" i="1"/>
  <c r="Z58" i="1"/>
  <c r="AA58" i="1"/>
  <c r="B59" i="1"/>
  <c r="O59" i="1"/>
  <c r="P59" i="1"/>
  <c r="Q59" i="1"/>
  <c r="S59" i="1"/>
  <c r="T59" i="1"/>
  <c r="U59" i="1"/>
  <c r="W59" i="1"/>
  <c r="X59" i="1"/>
  <c r="Y59" i="1"/>
  <c r="Z59" i="1"/>
  <c r="AA59" i="1"/>
  <c r="B60" i="1"/>
  <c r="O60" i="1"/>
  <c r="P60" i="1"/>
  <c r="Q60" i="1"/>
  <c r="S60" i="1"/>
  <c r="T60" i="1"/>
  <c r="U60" i="1"/>
  <c r="W60" i="1"/>
  <c r="X60" i="1"/>
  <c r="Y60" i="1"/>
  <c r="Z60" i="1"/>
  <c r="AA60" i="1"/>
  <c r="B61" i="1"/>
  <c r="O61" i="1"/>
  <c r="P61" i="1"/>
  <c r="Q61" i="1"/>
  <c r="S61" i="1"/>
  <c r="T61" i="1"/>
  <c r="U61" i="1"/>
  <c r="W61" i="1"/>
  <c r="X61" i="1"/>
  <c r="Y61" i="1"/>
  <c r="Z61" i="1"/>
  <c r="AA61" i="1"/>
  <c r="B62" i="1"/>
  <c r="O62" i="1"/>
  <c r="P62" i="1"/>
  <c r="Q62" i="1"/>
  <c r="S62" i="1"/>
  <c r="T62" i="1"/>
  <c r="U62" i="1"/>
  <c r="W62" i="1"/>
  <c r="X62" i="1"/>
  <c r="Y62" i="1"/>
  <c r="Z62" i="1"/>
  <c r="AA62" i="1"/>
  <c r="B63" i="1"/>
  <c r="O63" i="1"/>
  <c r="P63" i="1"/>
  <c r="Q63" i="1"/>
  <c r="S63" i="1"/>
  <c r="T63" i="1"/>
  <c r="U63" i="1"/>
  <c r="W63" i="1"/>
  <c r="X63" i="1"/>
  <c r="Y63" i="1"/>
  <c r="Z63" i="1"/>
  <c r="AA63" i="1"/>
  <c r="B64" i="1"/>
  <c r="O64" i="1"/>
  <c r="P64" i="1"/>
  <c r="Q64" i="1"/>
  <c r="S64" i="1"/>
  <c r="T64" i="1"/>
  <c r="U64" i="1"/>
  <c r="W64" i="1"/>
  <c r="X64" i="1"/>
  <c r="Y64" i="1"/>
  <c r="Z64" i="1"/>
  <c r="AA64" i="1"/>
  <c r="B65" i="1"/>
  <c r="O65" i="1"/>
  <c r="P65" i="1"/>
  <c r="Q65" i="1"/>
  <c r="S65" i="1"/>
  <c r="T65" i="1"/>
  <c r="U65" i="1"/>
  <c r="W65" i="1"/>
  <c r="X65" i="1"/>
  <c r="Y65" i="1"/>
  <c r="Z65" i="1"/>
  <c r="AA65" i="1"/>
  <c r="B66" i="1"/>
  <c r="O66" i="1"/>
  <c r="P66" i="1"/>
  <c r="Q66" i="1"/>
  <c r="S66" i="1"/>
  <c r="T66" i="1"/>
  <c r="U66" i="1"/>
  <c r="W66" i="1"/>
  <c r="X66" i="1"/>
  <c r="Y66" i="1"/>
  <c r="Z66" i="1"/>
  <c r="AA66" i="1"/>
  <c r="B67" i="1"/>
  <c r="O67" i="1"/>
  <c r="P67" i="1"/>
  <c r="Q67" i="1"/>
  <c r="S67" i="1"/>
  <c r="T67" i="1"/>
  <c r="U67" i="1"/>
  <c r="W67" i="1"/>
  <c r="X67" i="1"/>
  <c r="Y67" i="1"/>
  <c r="Z67" i="1"/>
  <c r="AA67" i="1"/>
  <c r="B68" i="1"/>
  <c r="O68" i="1"/>
  <c r="P68" i="1"/>
  <c r="Q68" i="1"/>
  <c r="S68" i="1"/>
  <c r="T68" i="1"/>
  <c r="U68" i="1"/>
  <c r="W68" i="1"/>
  <c r="X68" i="1"/>
  <c r="Y68" i="1"/>
  <c r="Z68" i="1"/>
  <c r="AA68" i="1"/>
  <c r="B69" i="1"/>
  <c r="O69" i="1"/>
  <c r="P69" i="1"/>
  <c r="Q69" i="1"/>
  <c r="S69" i="1"/>
  <c r="T69" i="1"/>
  <c r="U69" i="1"/>
  <c r="W69" i="1"/>
  <c r="X69" i="1"/>
  <c r="Y69" i="1"/>
  <c r="Z69" i="1"/>
  <c r="AA69" i="1"/>
  <c r="B70" i="1"/>
  <c r="O70" i="1"/>
  <c r="P70" i="1"/>
  <c r="Q70" i="1"/>
  <c r="S70" i="1"/>
  <c r="T70" i="1"/>
  <c r="U70" i="1"/>
  <c r="W70" i="1"/>
  <c r="X70" i="1"/>
  <c r="Y70" i="1"/>
  <c r="Z70" i="1"/>
  <c r="AA70" i="1"/>
  <c r="B71" i="1"/>
  <c r="O71" i="1"/>
  <c r="P71" i="1"/>
  <c r="Q71" i="1"/>
  <c r="S71" i="1"/>
  <c r="T71" i="1"/>
  <c r="U71" i="1"/>
  <c r="W71" i="1"/>
  <c r="X71" i="1"/>
  <c r="Y71" i="1"/>
  <c r="Z71" i="1"/>
  <c r="AA71" i="1"/>
  <c r="B72" i="1"/>
  <c r="O72" i="1"/>
  <c r="P72" i="1"/>
  <c r="Q72" i="1"/>
  <c r="S72" i="1"/>
  <c r="T72" i="1"/>
  <c r="U72" i="1"/>
  <c r="W72" i="1"/>
  <c r="X72" i="1"/>
  <c r="Y72" i="1"/>
  <c r="Z72" i="1"/>
  <c r="AA72" i="1"/>
  <c r="B73" i="1"/>
  <c r="O73" i="1"/>
  <c r="P73" i="1"/>
  <c r="Q73" i="1"/>
  <c r="S73" i="1"/>
  <c r="T73" i="1"/>
  <c r="U73" i="1"/>
  <c r="W73" i="1"/>
  <c r="X73" i="1"/>
  <c r="Y73" i="1"/>
  <c r="Z73" i="1"/>
  <c r="AA73" i="1"/>
  <c r="B74" i="1"/>
  <c r="O74" i="1"/>
  <c r="P74" i="1"/>
  <c r="Q74" i="1"/>
  <c r="S74" i="1"/>
  <c r="T74" i="1"/>
  <c r="U74" i="1"/>
  <c r="W74" i="1"/>
  <c r="X74" i="1"/>
  <c r="Y74" i="1"/>
  <c r="Z74" i="1"/>
  <c r="AA74" i="1"/>
  <c r="B75" i="1"/>
  <c r="O75" i="1"/>
  <c r="P75" i="1"/>
  <c r="Q75" i="1"/>
  <c r="S75" i="1"/>
  <c r="T75" i="1"/>
  <c r="U75" i="1"/>
  <c r="W75" i="1"/>
  <c r="X75" i="1"/>
  <c r="Y75" i="1"/>
  <c r="Z75" i="1"/>
  <c r="AA75" i="1"/>
  <c r="B76" i="1"/>
  <c r="O76" i="1"/>
  <c r="P76" i="1"/>
  <c r="Q76" i="1"/>
  <c r="S76" i="1"/>
  <c r="T76" i="1"/>
  <c r="U76" i="1"/>
  <c r="W76" i="1"/>
  <c r="X76" i="1"/>
  <c r="Y76" i="1"/>
  <c r="Z76" i="1"/>
  <c r="AA76" i="1"/>
  <c r="B77" i="1"/>
  <c r="O77" i="1"/>
  <c r="P77" i="1"/>
  <c r="Q77" i="1"/>
  <c r="S77" i="1"/>
  <c r="T77" i="1"/>
  <c r="U77" i="1"/>
  <c r="W77" i="1"/>
  <c r="X77" i="1"/>
  <c r="Y77" i="1"/>
  <c r="Z77" i="1"/>
  <c r="AA77" i="1"/>
  <c r="B78" i="1"/>
  <c r="O78" i="1"/>
  <c r="P78" i="1"/>
  <c r="Q78" i="1"/>
  <c r="S78" i="1"/>
  <c r="T78" i="1"/>
  <c r="U78" i="1"/>
  <c r="W78" i="1"/>
  <c r="X78" i="1"/>
  <c r="Y78" i="1"/>
  <c r="Z78" i="1"/>
  <c r="AA78" i="1"/>
  <c r="B79" i="1"/>
  <c r="O79" i="1"/>
  <c r="P79" i="1"/>
  <c r="Q79" i="1"/>
  <c r="S79" i="1"/>
  <c r="T79" i="1"/>
  <c r="U79" i="1"/>
  <c r="W79" i="1"/>
  <c r="X79" i="1"/>
  <c r="Y79" i="1"/>
  <c r="Z79" i="1"/>
  <c r="AA79" i="1"/>
  <c r="B80" i="1"/>
  <c r="O80" i="1"/>
  <c r="P80" i="1"/>
  <c r="Q80" i="1"/>
  <c r="S80" i="1"/>
  <c r="T80" i="1"/>
  <c r="U80" i="1"/>
  <c r="W80" i="1"/>
  <c r="X80" i="1"/>
  <c r="Y80" i="1"/>
  <c r="Z80" i="1"/>
  <c r="AA80" i="1"/>
  <c r="B81" i="1"/>
  <c r="O81" i="1"/>
  <c r="P81" i="1"/>
  <c r="Q81" i="1"/>
  <c r="S81" i="1"/>
  <c r="T81" i="1"/>
  <c r="U81" i="1"/>
  <c r="W81" i="1"/>
  <c r="X81" i="1"/>
  <c r="Y81" i="1"/>
  <c r="Z81" i="1"/>
  <c r="AA81" i="1"/>
  <c r="B82" i="1"/>
  <c r="O82" i="1"/>
  <c r="P82" i="1"/>
  <c r="Q82" i="1"/>
  <c r="S82" i="1"/>
  <c r="T82" i="1"/>
  <c r="U82" i="1"/>
  <c r="W82" i="1"/>
  <c r="X82" i="1"/>
  <c r="Y82" i="1"/>
  <c r="Z82" i="1"/>
  <c r="AA82" i="1"/>
  <c r="B83" i="1"/>
  <c r="O83" i="1"/>
  <c r="P83" i="1"/>
  <c r="Q83" i="1"/>
  <c r="S83" i="1"/>
  <c r="T83" i="1"/>
  <c r="U83" i="1"/>
  <c r="W83" i="1"/>
  <c r="X83" i="1"/>
  <c r="Y83" i="1"/>
  <c r="Z83" i="1"/>
  <c r="AA83" i="1"/>
  <c r="B84" i="1"/>
  <c r="O84" i="1"/>
  <c r="P84" i="1"/>
  <c r="Q84" i="1"/>
  <c r="S84" i="1"/>
  <c r="T84" i="1"/>
  <c r="U84" i="1"/>
  <c r="W84" i="1"/>
  <c r="X84" i="1"/>
  <c r="Y84" i="1"/>
  <c r="Z84" i="1"/>
  <c r="AA84" i="1"/>
  <c r="B85" i="1"/>
  <c r="O85" i="1"/>
  <c r="P85" i="1"/>
  <c r="Q85" i="1"/>
  <c r="S85" i="1"/>
  <c r="T85" i="1"/>
  <c r="U85" i="1"/>
  <c r="W85" i="1"/>
  <c r="X85" i="1"/>
  <c r="Y85" i="1"/>
  <c r="Z85" i="1"/>
  <c r="AA85" i="1"/>
  <c r="B86" i="1"/>
  <c r="O86" i="1"/>
  <c r="P86" i="1"/>
  <c r="Q86" i="1"/>
  <c r="S86" i="1"/>
  <c r="T86" i="1"/>
  <c r="U86" i="1"/>
  <c r="W86" i="1"/>
  <c r="X86" i="1"/>
  <c r="Y86" i="1"/>
  <c r="Z86" i="1"/>
  <c r="AA86" i="1"/>
  <c r="B87" i="1"/>
  <c r="O87" i="1"/>
  <c r="P87" i="1"/>
  <c r="Q87" i="1"/>
  <c r="S87" i="1"/>
  <c r="T87" i="1"/>
  <c r="U87" i="1"/>
  <c r="W87" i="1"/>
  <c r="X87" i="1"/>
  <c r="Y87" i="1"/>
  <c r="Z87" i="1"/>
  <c r="AA87" i="1"/>
  <c r="B88" i="1"/>
  <c r="O88" i="1"/>
  <c r="P88" i="1"/>
  <c r="Q88" i="1"/>
  <c r="S88" i="1"/>
  <c r="T88" i="1"/>
  <c r="U88" i="1"/>
  <c r="W88" i="1"/>
  <c r="X88" i="1"/>
  <c r="Y88" i="1"/>
  <c r="Z88" i="1"/>
  <c r="AA88" i="1"/>
  <c r="B89" i="1"/>
  <c r="O89" i="1"/>
  <c r="P89" i="1"/>
  <c r="Q89" i="1"/>
  <c r="S89" i="1"/>
  <c r="T89" i="1"/>
  <c r="U89" i="1"/>
  <c r="W89" i="1"/>
  <c r="X89" i="1"/>
  <c r="Y89" i="1"/>
  <c r="Z89" i="1"/>
  <c r="AA89" i="1"/>
  <c r="B90" i="1"/>
  <c r="O90" i="1"/>
  <c r="P90" i="1"/>
  <c r="Q90" i="1"/>
  <c r="S90" i="1"/>
  <c r="T90" i="1"/>
  <c r="U90" i="1"/>
  <c r="W90" i="1"/>
  <c r="X90" i="1"/>
  <c r="Y90" i="1"/>
  <c r="Z90" i="1"/>
  <c r="AA90" i="1"/>
  <c r="B91" i="1"/>
  <c r="O91" i="1"/>
  <c r="P91" i="1"/>
  <c r="Q91" i="1"/>
  <c r="S91" i="1"/>
  <c r="T91" i="1"/>
  <c r="U91" i="1"/>
  <c r="W91" i="1"/>
  <c r="X91" i="1"/>
  <c r="Y91" i="1"/>
  <c r="Z91" i="1"/>
  <c r="AA91" i="1"/>
  <c r="B92" i="1"/>
  <c r="O92" i="1"/>
  <c r="P92" i="1"/>
  <c r="Q92" i="1"/>
  <c r="S92" i="1"/>
  <c r="T92" i="1"/>
  <c r="U92" i="1"/>
  <c r="W92" i="1"/>
  <c r="X92" i="1"/>
  <c r="Y92" i="1"/>
  <c r="Z92" i="1"/>
  <c r="AA92" i="1"/>
  <c r="B93" i="1"/>
  <c r="O93" i="1"/>
  <c r="P93" i="1"/>
  <c r="Q93" i="1"/>
  <c r="S93" i="1"/>
  <c r="T93" i="1"/>
  <c r="U93" i="1"/>
  <c r="W93" i="1"/>
  <c r="X93" i="1"/>
  <c r="Y93" i="1"/>
  <c r="Z93" i="1"/>
  <c r="AA93" i="1"/>
  <c r="B94" i="1"/>
  <c r="O94" i="1"/>
  <c r="P94" i="1"/>
  <c r="Q94" i="1"/>
  <c r="S94" i="1"/>
  <c r="T94" i="1"/>
  <c r="U94" i="1"/>
  <c r="W94" i="1"/>
  <c r="X94" i="1"/>
  <c r="Y94" i="1"/>
  <c r="Z94" i="1"/>
  <c r="AA94" i="1"/>
  <c r="B95" i="1"/>
  <c r="O95" i="1"/>
  <c r="P95" i="1"/>
  <c r="Q95" i="1"/>
  <c r="S95" i="1"/>
  <c r="T95" i="1"/>
  <c r="U95" i="1"/>
  <c r="W95" i="1"/>
  <c r="X95" i="1"/>
  <c r="Y95" i="1"/>
  <c r="Z95" i="1"/>
  <c r="AA95" i="1"/>
  <c r="B96" i="1"/>
  <c r="O96" i="1"/>
  <c r="P96" i="1"/>
  <c r="Q96" i="1"/>
  <c r="S96" i="1"/>
  <c r="T96" i="1"/>
  <c r="U96" i="1"/>
  <c r="W96" i="1"/>
  <c r="X96" i="1"/>
  <c r="Y96" i="1"/>
  <c r="Z96" i="1"/>
  <c r="AA96" i="1"/>
  <c r="B97" i="1"/>
  <c r="O97" i="1"/>
  <c r="P97" i="1"/>
  <c r="Q97" i="1"/>
  <c r="S97" i="1"/>
  <c r="T97" i="1"/>
  <c r="U97" i="1"/>
  <c r="W97" i="1"/>
  <c r="X97" i="1"/>
  <c r="Y97" i="1"/>
  <c r="Z97" i="1"/>
  <c r="AA97" i="1"/>
  <c r="B98" i="1"/>
  <c r="O98" i="1"/>
  <c r="P98" i="1"/>
  <c r="Q98" i="1"/>
  <c r="S98" i="1"/>
  <c r="T98" i="1"/>
  <c r="U98" i="1"/>
  <c r="W98" i="1"/>
  <c r="X98" i="1"/>
  <c r="Y98" i="1"/>
  <c r="Z98" i="1"/>
  <c r="AA98" i="1"/>
  <c r="B99" i="1"/>
  <c r="O99" i="1"/>
  <c r="P99" i="1"/>
  <c r="Q99" i="1"/>
  <c r="S99" i="1"/>
  <c r="T99" i="1"/>
  <c r="U99" i="1"/>
  <c r="W99" i="1"/>
  <c r="X99" i="1"/>
  <c r="Y99" i="1"/>
  <c r="Z99" i="1"/>
  <c r="AA99" i="1"/>
  <c r="B100" i="1"/>
  <c r="O100" i="1"/>
  <c r="P100" i="1"/>
  <c r="Q100" i="1"/>
  <c r="S100" i="1"/>
  <c r="T100" i="1"/>
  <c r="U100" i="1"/>
  <c r="W100" i="1"/>
  <c r="X100" i="1"/>
  <c r="Y100" i="1"/>
  <c r="Z100" i="1"/>
  <c r="AA100" i="1"/>
  <c r="B101" i="1"/>
  <c r="O101" i="1"/>
  <c r="P101" i="1"/>
  <c r="Q101" i="1"/>
  <c r="S101" i="1"/>
  <c r="T101" i="1"/>
  <c r="U101" i="1"/>
  <c r="W101" i="1"/>
  <c r="X101" i="1"/>
  <c r="Y101" i="1"/>
  <c r="Z101" i="1"/>
  <c r="AA101" i="1"/>
  <c r="B102" i="1"/>
  <c r="O102" i="1"/>
  <c r="P102" i="1"/>
  <c r="Q102" i="1"/>
  <c r="S102" i="1"/>
  <c r="T102" i="1"/>
  <c r="U102" i="1"/>
  <c r="W102" i="1"/>
  <c r="X102" i="1"/>
  <c r="Y102" i="1"/>
  <c r="Z102" i="1"/>
  <c r="AA102" i="1"/>
  <c r="B103" i="1"/>
  <c r="O103" i="1"/>
  <c r="P103" i="1"/>
  <c r="Q103" i="1"/>
  <c r="S103" i="1"/>
  <c r="T103" i="1"/>
  <c r="U103" i="1"/>
  <c r="W103" i="1"/>
  <c r="X103" i="1"/>
  <c r="Y103" i="1"/>
  <c r="Z103" i="1"/>
  <c r="AA103" i="1"/>
  <c r="B104" i="1"/>
  <c r="O104" i="1"/>
  <c r="P104" i="1"/>
  <c r="Q104" i="1"/>
  <c r="S104" i="1"/>
  <c r="T104" i="1"/>
  <c r="U104" i="1"/>
  <c r="W104" i="1"/>
  <c r="X104" i="1"/>
  <c r="Y104" i="1"/>
  <c r="Z104" i="1"/>
  <c r="AA104" i="1"/>
  <c r="B105" i="1"/>
  <c r="O105" i="1"/>
  <c r="P105" i="1"/>
  <c r="Q105" i="1"/>
  <c r="S105" i="1"/>
  <c r="T105" i="1"/>
  <c r="U105" i="1"/>
  <c r="W105" i="1"/>
  <c r="X105" i="1"/>
  <c r="Y105" i="1"/>
  <c r="Z105" i="1"/>
  <c r="AA105" i="1"/>
  <c r="B106" i="1"/>
  <c r="O106" i="1"/>
  <c r="P106" i="1"/>
  <c r="Q106" i="1"/>
  <c r="S106" i="1"/>
  <c r="T106" i="1"/>
  <c r="U106" i="1"/>
  <c r="W106" i="1"/>
  <c r="X106" i="1"/>
  <c r="Y106" i="1"/>
  <c r="Z106" i="1"/>
  <c r="AA106" i="1"/>
  <c r="B107" i="1"/>
  <c r="O107" i="1"/>
  <c r="P107" i="1"/>
  <c r="Q107" i="1"/>
  <c r="S107" i="1"/>
  <c r="T107" i="1"/>
  <c r="U107" i="1"/>
  <c r="W107" i="1"/>
  <c r="X107" i="1"/>
  <c r="Y107" i="1"/>
  <c r="Z107" i="1"/>
  <c r="AA107" i="1"/>
  <c r="B108" i="1"/>
  <c r="O108" i="1"/>
  <c r="P108" i="1"/>
  <c r="Q108" i="1"/>
  <c r="S108" i="1"/>
  <c r="T108" i="1"/>
  <c r="U108" i="1"/>
  <c r="W108" i="1"/>
  <c r="X108" i="1"/>
  <c r="Y108" i="1"/>
  <c r="Z108" i="1"/>
  <c r="AA108" i="1"/>
  <c r="B109" i="1"/>
  <c r="O109" i="1"/>
  <c r="P109" i="1"/>
  <c r="Q109" i="1"/>
  <c r="S109" i="1"/>
  <c r="T109" i="1"/>
  <c r="U109" i="1"/>
  <c r="W109" i="1"/>
  <c r="X109" i="1"/>
  <c r="Y109" i="1"/>
  <c r="Z109" i="1"/>
  <c r="AA109" i="1"/>
  <c r="B110" i="1"/>
  <c r="O110" i="1"/>
  <c r="P110" i="1"/>
  <c r="Q110" i="1"/>
  <c r="S110" i="1"/>
  <c r="T110" i="1"/>
  <c r="U110" i="1"/>
  <c r="W110" i="1"/>
  <c r="X110" i="1"/>
  <c r="Y110" i="1"/>
  <c r="Z110" i="1"/>
  <c r="AA110" i="1"/>
  <c r="B111" i="1"/>
  <c r="O111" i="1"/>
  <c r="P111" i="1"/>
  <c r="Q111" i="1"/>
  <c r="S111" i="1"/>
  <c r="T111" i="1"/>
  <c r="U111" i="1"/>
  <c r="W111" i="1"/>
  <c r="X111" i="1"/>
  <c r="Y111" i="1"/>
  <c r="Z111" i="1"/>
  <c r="AA111" i="1"/>
  <c r="B112" i="1"/>
  <c r="O112" i="1"/>
  <c r="P112" i="1"/>
  <c r="Q112" i="1"/>
  <c r="S112" i="1"/>
  <c r="T112" i="1"/>
  <c r="U112" i="1"/>
  <c r="W112" i="1"/>
  <c r="X112" i="1"/>
  <c r="Y112" i="1"/>
  <c r="Z112" i="1"/>
  <c r="AA112" i="1"/>
  <c r="B113" i="1"/>
  <c r="O113" i="1"/>
  <c r="P113" i="1"/>
  <c r="Q113" i="1"/>
  <c r="S113" i="1"/>
  <c r="T113" i="1"/>
  <c r="U113" i="1"/>
  <c r="W113" i="1"/>
  <c r="X113" i="1"/>
  <c r="Y113" i="1"/>
  <c r="Z113" i="1"/>
  <c r="AA113" i="1"/>
  <c r="B114" i="1"/>
  <c r="O114" i="1"/>
  <c r="P114" i="1"/>
  <c r="Q114" i="1"/>
  <c r="S114" i="1"/>
  <c r="T114" i="1"/>
  <c r="U114" i="1"/>
  <c r="W114" i="1"/>
  <c r="X114" i="1"/>
  <c r="Y114" i="1"/>
  <c r="Z114" i="1"/>
  <c r="AA114" i="1"/>
  <c r="B115" i="1"/>
  <c r="O115" i="1"/>
  <c r="P115" i="1"/>
  <c r="Q115" i="1"/>
  <c r="S115" i="1"/>
  <c r="T115" i="1"/>
  <c r="U115" i="1"/>
  <c r="W115" i="1"/>
  <c r="X115" i="1"/>
  <c r="Y115" i="1"/>
  <c r="Z115" i="1"/>
  <c r="AA115" i="1"/>
  <c r="B116" i="1"/>
  <c r="O116" i="1"/>
  <c r="P116" i="1"/>
  <c r="Q116" i="1"/>
  <c r="S116" i="1"/>
  <c r="T116" i="1"/>
  <c r="U116" i="1"/>
  <c r="W116" i="1"/>
  <c r="X116" i="1"/>
  <c r="Y116" i="1"/>
  <c r="Z116" i="1"/>
  <c r="AA116" i="1"/>
  <c r="B117" i="1"/>
  <c r="O117" i="1"/>
  <c r="P117" i="1"/>
  <c r="Q117" i="1"/>
  <c r="S117" i="1"/>
  <c r="T117" i="1"/>
  <c r="U117" i="1"/>
  <c r="W117" i="1"/>
  <c r="X117" i="1"/>
  <c r="Y117" i="1"/>
  <c r="Z117" i="1"/>
  <c r="AA117" i="1"/>
  <c r="B118" i="1"/>
  <c r="O118" i="1"/>
  <c r="P118" i="1"/>
  <c r="Q118" i="1"/>
  <c r="S118" i="1"/>
  <c r="T118" i="1"/>
  <c r="U118" i="1"/>
  <c r="W118" i="1"/>
  <c r="X118" i="1"/>
  <c r="Y118" i="1"/>
  <c r="Z118" i="1"/>
  <c r="AA118" i="1"/>
  <c r="B119" i="1"/>
  <c r="O119" i="1"/>
  <c r="P119" i="1"/>
  <c r="Q119" i="1"/>
  <c r="S119" i="1"/>
  <c r="T119" i="1"/>
  <c r="U119" i="1"/>
  <c r="W119" i="1"/>
  <c r="X119" i="1"/>
  <c r="Y119" i="1"/>
  <c r="Z119" i="1"/>
  <c r="AA119" i="1"/>
  <c r="B120" i="1"/>
  <c r="O120" i="1"/>
  <c r="P120" i="1"/>
  <c r="Q120" i="1"/>
  <c r="S120" i="1"/>
  <c r="T120" i="1"/>
  <c r="U120" i="1"/>
  <c r="W120" i="1"/>
  <c r="X120" i="1"/>
  <c r="Y120" i="1"/>
  <c r="Z120" i="1"/>
  <c r="AA120" i="1"/>
  <c r="B121" i="1"/>
  <c r="O121" i="1"/>
  <c r="P121" i="1"/>
  <c r="Q121" i="1"/>
  <c r="S121" i="1"/>
  <c r="T121" i="1"/>
  <c r="U121" i="1"/>
  <c r="W121" i="1"/>
  <c r="X121" i="1"/>
  <c r="Y121" i="1"/>
  <c r="Z121" i="1"/>
  <c r="AA121" i="1"/>
  <c r="B122" i="1"/>
  <c r="O122" i="1"/>
  <c r="P122" i="1"/>
  <c r="Q122" i="1"/>
  <c r="S122" i="1"/>
  <c r="T122" i="1"/>
  <c r="U122" i="1"/>
  <c r="W122" i="1"/>
  <c r="X122" i="1"/>
  <c r="Y122" i="1"/>
  <c r="Z122" i="1"/>
  <c r="AA122" i="1"/>
  <c r="B123" i="1"/>
  <c r="O123" i="1"/>
  <c r="P123" i="1"/>
  <c r="Q123" i="1"/>
  <c r="S123" i="1"/>
  <c r="T123" i="1"/>
  <c r="U123" i="1"/>
  <c r="W123" i="1"/>
  <c r="X123" i="1"/>
  <c r="Y123" i="1"/>
  <c r="Z123" i="1"/>
  <c r="AA123" i="1"/>
  <c r="B124" i="1"/>
  <c r="O124" i="1"/>
  <c r="P124" i="1"/>
  <c r="Q124" i="1"/>
  <c r="S124" i="1"/>
  <c r="T124" i="1"/>
  <c r="U124" i="1"/>
  <c r="W124" i="1"/>
  <c r="X124" i="1"/>
  <c r="Y124" i="1"/>
  <c r="Z124" i="1"/>
  <c r="AA124" i="1"/>
  <c r="B125" i="1"/>
  <c r="O125" i="1"/>
  <c r="P125" i="1"/>
  <c r="Q125" i="1"/>
  <c r="S125" i="1"/>
  <c r="T125" i="1"/>
  <c r="U125" i="1"/>
  <c r="W125" i="1"/>
  <c r="X125" i="1"/>
  <c r="Y125" i="1"/>
  <c r="Z125" i="1"/>
  <c r="AA125" i="1"/>
  <c r="B126" i="1"/>
  <c r="O126" i="1"/>
  <c r="P126" i="1"/>
  <c r="Q126" i="1"/>
  <c r="S126" i="1"/>
  <c r="T126" i="1"/>
  <c r="U126" i="1"/>
  <c r="W126" i="1"/>
  <c r="X126" i="1"/>
  <c r="Y126" i="1"/>
  <c r="Z126" i="1"/>
  <c r="AA126" i="1"/>
  <c r="B127" i="1"/>
  <c r="O127" i="1"/>
  <c r="P127" i="1"/>
  <c r="Q127" i="1"/>
  <c r="S127" i="1"/>
  <c r="T127" i="1"/>
  <c r="U127" i="1"/>
  <c r="W127" i="1"/>
  <c r="X127" i="1"/>
  <c r="Y127" i="1"/>
  <c r="Z127" i="1"/>
  <c r="AA127" i="1"/>
  <c r="B128" i="1"/>
  <c r="O128" i="1"/>
  <c r="P128" i="1"/>
  <c r="Q128" i="1"/>
  <c r="S128" i="1"/>
  <c r="T128" i="1"/>
  <c r="U128" i="1"/>
  <c r="W128" i="1"/>
  <c r="X128" i="1"/>
  <c r="Y128" i="1"/>
  <c r="Z128" i="1"/>
  <c r="AA128" i="1"/>
  <c r="B129" i="1"/>
  <c r="O129" i="1"/>
  <c r="P129" i="1"/>
  <c r="Q129" i="1"/>
  <c r="S129" i="1"/>
  <c r="T129" i="1"/>
  <c r="U129" i="1"/>
  <c r="W129" i="1"/>
  <c r="X129" i="1"/>
  <c r="Y129" i="1"/>
  <c r="Z129" i="1"/>
  <c r="AA129" i="1"/>
  <c r="B130" i="1"/>
  <c r="O130" i="1"/>
  <c r="P130" i="1"/>
  <c r="Q130" i="1"/>
  <c r="S130" i="1"/>
  <c r="T130" i="1"/>
  <c r="U130" i="1"/>
  <c r="W130" i="1"/>
  <c r="X130" i="1"/>
  <c r="Y130" i="1"/>
  <c r="Z130" i="1"/>
  <c r="AA130" i="1"/>
  <c r="B131" i="1"/>
  <c r="O131" i="1"/>
  <c r="P131" i="1"/>
  <c r="Q131" i="1"/>
  <c r="S131" i="1"/>
  <c r="T131" i="1"/>
  <c r="U131" i="1"/>
  <c r="W131" i="1"/>
  <c r="X131" i="1"/>
  <c r="Y131" i="1"/>
  <c r="Z131" i="1"/>
  <c r="AA131" i="1"/>
  <c r="B132" i="1"/>
  <c r="O132" i="1"/>
  <c r="P132" i="1"/>
  <c r="Q132" i="1"/>
  <c r="S132" i="1"/>
  <c r="T132" i="1"/>
  <c r="U132" i="1"/>
  <c r="W132" i="1"/>
  <c r="X132" i="1"/>
  <c r="Y132" i="1"/>
  <c r="Z132" i="1"/>
  <c r="AA132" i="1"/>
  <c r="B133" i="1"/>
  <c r="O133" i="1"/>
  <c r="P133" i="1"/>
  <c r="Q133" i="1"/>
  <c r="S133" i="1"/>
  <c r="T133" i="1"/>
  <c r="U133" i="1"/>
  <c r="W133" i="1"/>
  <c r="X133" i="1"/>
  <c r="Y133" i="1"/>
  <c r="Z133" i="1"/>
  <c r="AA133" i="1"/>
  <c r="B134" i="1"/>
  <c r="O134" i="1"/>
  <c r="P134" i="1"/>
  <c r="Q134" i="1"/>
  <c r="S134" i="1"/>
  <c r="T134" i="1"/>
  <c r="U134" i="1"/>
  <c r="W134" i="1"/>
  <c r="X134" i="1"/>
  <c r="Y134" i="1"/>
  <c r="Z134" i="1"/>
  <c r="AA134" i="1"/>
  <c r="B135" i="1"/>
  <c r="O135" i="1"/>
  <c r="P135" i="1"/>
  <c r="Q135" i="1"/>
  <c r="S135" i="1"/>
  <c r="T135" i="1"/>
  <c r="U135" i="1"/>
  <c r="W135" i="1"/>
  <c r="X135" i="1"/>
  <c r="Y135" i="1"/>
  <c r="Z135" i="1"/>
  <c r="AA135" i="1"/>
  <c r="B136" i="1"/>
  <c r="O136" i="1"/>
  <c r="P136" i="1"/>
  <c r="Q136" i="1"/>
  <c r="S136" i="1"/>
  <c r="T136" i="1"/>
  <c r="U136" i="1"/>
  <c r="W136" i="1"/>
  <c r="X136" i="1"/>
  <c r="Y136" i="1"/>
  <c r="Z136" i="1"/>
  <c r="AA136" i="1"/>
  <c r="B137" i="1"/>
  <c r="O137" i="1"/>
  <c r="P137" i="1"/>
  <c r="Q137" i="1"/>
  <c r="S137" i="1"/>
  <c r="T137" i="1"/>
  <c r="U137" i="1"/>
  <c r="W137" i="1"/>
  <c r="X137" i="1"/>
  <c r="Y137" i="1"/>
  <c r="Z137" i="1"/>
  <c r="AA137" i="1"/>
  <c r="B138" i="1"/>
  <c r="O138" i="1"/>
  <c r="P138" i="1"/>
  <c r="Q138" i="1"/>
  <c r="S138" i="1"/>
  <c r="T138" i="1"/>
  <c r="U138" i="1"/>
  <c r="W138" i="1"/>
  <c r="X138" i="1"/>
  <c r="Y138" i="1"/>
  <c r="Z138" i="1"/>
  <c r="AA138" i="1"/>
  <c r="B139" i="1"/>
  <c r="O139" i="1"/>
  <c r="P139" i="1"/>
  <c r="Q139" i="1"/>
  <c r="S139" i="1"/>
  <c r="T139" i="1"/>
  <c r="U139" i="1"/>
  <c r="W139" i="1"/>
  <c r="X139" i="1"/>
  <c r="Y139" i="1"/>
  <c r="Z139" i="1"/>
  <c r="AA139" i="1"/>
  <c r="B140" i="1"/>
  <c r="O140" i="1"/>
  <c r="P140" i="1"/>
  <c r="Q140" i="1"/>
  <c r="S140" i="1"/>
  <c r="T140" i="1"/>
  <c r="U140" i="1"/>
  <c r="W140" i="1"/>
  <c r="X140" i="1"/>
  <c r="Y140" i="1"/>
  <c r="Z140" i="1"/>
  <c r="AA140" i="1"/>
  <c r="B141" i="1"/>
  <c r="O141" i="1"/>
  <c r="P141" i="1"/>
  <c r="Q141" i="1"/>
  <c r="S141" i="1"/>
  <c r="T141" i="1"/>
  <c r="U141" i="1"/>
  <c r="W141" i="1"/>
  <c r="X141" i="1"/>
  <c r="Y141" i="1"/>
  <c r="Z141" i="1"/>
  <c r="AA141" i="1"/>
  <c r="B142" i="1"/>
  <c r="O142" i="1"/>
  <c r="P142" i="1"/>
  <c r="Q142" i="1"/>
  <c r="S142" i="1"/>
  <c r="T142" i="1"/>
  <c r="U142" i="1"/>
  <c r="W142" i="1"/>
  <c r="X142" i="1"/>
  <c r="Y142" i="1"/>
  <c r="Z142" i="1"/>
  <c r="AA142" i="1"/>
  <c r="B143" i="1"/>
  <c r="O143" i="1"/>
  <c r="P143" i="1"/>
  <c r="Q143" i="1"/>
  <c r="S143" i="1"/>
  <c r="T143" i="1"/>
  <c r="U143" i="1"/>
  <c r="W143" i="1"/>
  <c r="X143" i="1"/>
  <c r="Y143" i="1"/>
  <c r="Z143" i="1"/>
  <c r="AA143" i="1"/>
  <c r="B144" i="1"/>
  <c r="O144" i="1"/>
  <c r="P144" i="1"/>
  <c r="Q144" i="1"/>
  <c r="S144" i="1"/>
  <c r="T144" i="1"/>
  <c r="U144" i="1"/>
  <c r="W144" i="1"/>
  <c r="X144" i="1"/>
  <c r="Y144" i="1"/>
  <c r="Z144" i="1"/>
  <c r="AA144" i="1"/>
  <c r="B145" i="1"/>
  <c r="O145" i="1"/>
  <c r="P145" i="1"/>
  <c r="Q145" i="1"/>
  <c r="S145" i="1"/>
  <c r="T145" i="1"/>
  <c r="U145" i="1"/>
  <c r="W145" i="1"/>
  <c r="X145" i="1"/>
  <c r="Y145" i="1"/>
  <c r="Z145" i="1"/>
  <c r="AA145" i="1"/>
  <c r="B146" i="1"/>
  <c r="O146" i="1"/>
  <c r="P146" i="1"/>
  <c r="Q146" i="1"/>
  <c r="S146" i="1"/>
  <c r="T146" i="1"/>
  <c r="U146" i="1"/>
  <c r="W146" i="1"/>
  <c r="X146" i="1"/>
  <c r="Y146" i="1"/>
  <c r="Z146" i="1"/>
  <c r="AA146" i="1"/>
</calcChain>
</file>

<file path=xl/sharedStrings.xml><?xml version="1.0" encoding="utf-8"?>
<sst xmlns="http://schemas.openxmlformats.org/spreadsheetml/2006/main" count="1767" uniqueCount="583">
  <si>
    <t xml:space="preserve">Registration Count  </t>
  </si>
  <si>
    <t xml:space="preserve">Event ID  </t>
  </si>
  <si>
    <t xml:space="preserve">Event Name  </t>
  </si>
  <si>
    <t xml:space="preserve">Event Start Date  </t>
  </si>
  <si>
    <t xml:space="preserve">Event Start Time  </t>
  </si>
  <si>
    <t xml:space="preserve">Event End Time  </t>
  </si>
  <si>
    <t xml:space="preserve">FirstName  </t>
  </si>
  <si>
    <t xml:space="preserve">LastName  </t>
  </si>
  <si>
    <t xml:space="preserve">Email  </t>
  </si>
  <si>
    <t xml:space="preserve">Registered  </t>
  </si>
  <si>
    <t xml:space="preserve">Attended  </t>
  </si>
  <si>
    <t xml:space="preserve">Registration Date/Time  </t>
  </si>
  <si>
    <t xml:space="preserve">Registration ID  </t>
  </si>
  <si>
    <t xml:space="preserve">Okay to send email  </t>
  </si>
  <si>
    <t xml:space="preserve">Title  </t>
  </si>
  <si>
    <t xml:space="preserve">Company  </t>
  </si>
  <si>
    <t xml:space="preserve">Phone  </t>
  </si>
  <si>
    <t xml:space="preserve">Address 1  </t>
  </si>
  <si>
    <t xml:space="preserve">City  </t>
  </si>
  <si>
    <t xml:space="preserve">State/Province  </t>
  </si>
  <si>
    <t xml:space="preserve">Postal/Zip Code  </t>
  </si>
  <si>
    <t xml:space="preserve">Country/Region  </t>
  </si>
  <si>
    <t xml:space="preserve">Please mark all that apply:  </t>
  </si>
  <si>
    <t xml:space="preserve">Are you currently DBE certified?  </t>
  </si>
  <si>
    <t xml:space="preserve">Have you done business with TxDOT?  </t>
  </si>
  <si>
    <t xml:space="preserve">Have you done business with NTTA?  </t>
  </si>
  <si>
    <t xml:space="preserve">How many years has the company been doing business?  </t>
  </si>
  <si>
    <t>CIP Workshop for Heavy Highway Construction Firms Webinar</t>
  </si>
  <si>
    <t>November 12, 2020 Chicago Time</t>
  </si>
  <si>
    <t>10:00 am Chicago Time</t>
  </si>
  <si>
    <t>12:00 pm Chicago Time</t>
  </si>
  <si>
    <t>Valorie</t>
  </si>
  <si>
    <t>Allen</t>
  </si>
  <si>
    <t>vallen@sostexas.com</t>
  </si>
  <si>
    <t>No</t>
  </si>
  <si>
    <t>Yes</t>
  </si>
  <si>
    <t>November 2, 2020 2:42 pm Chicago Time</t>
  </si>
  <si>
    <t>United States of America</t>
  </si>
  <si>
    <t>Diana</t>
  </si>
  <si>
    <t>Savo-bernola</t>
  </si>
  <si>
    <t>diana.savo-bernola@envisionus.com</t>
  </si>
  <si>
    <t>October 28, 2020 3:46 pm Chicago Time</t>
  </si>
  <si>
    <t>Tony</t>
  </si>
  <si>
    <t>Arps</t>
  </si>
  <si>
    <t>tony@gdhcc.com</t>
  </si>
  <si>
    <t>November 12, 2020 9:30 am Chicago Time</t>
  </si>
  <si>
    <t>TERRY</t>
  </si>
  <si>
    <t>LACY-LITTLE</t>
  </si>
  <si>
    <t>tlacy@eaglebarricade.com</t>
  </si>
  <si>
    <t>October 26, 2020 1:26 pm Chicago Time</t>
  </si>
  <si>
    <t>Jesus</t>
  </si>
  <si>
    <t>Ruiz</t>
  </si>
  <si>
    <t>jesus.ruiz@kci.com</t>
  </si>
  <si>
    <t>October 29, 2020 8:31 am Chicago Time</t>
  </si>
  <si>
    <t>Jayme</t>
  </si>
  <si>
    <t>Meadows</t>
  </si>
  <si>
    <t>jdmeadows001@gmail.com</t>
  </si>
  <si>
    <t>October 24, 2020 2:14 pm Chicago Time</t>
  </si>
  <si>
    <t>RICK</t>
  </si>
  <si>
    <t>LEDESMA</t>
  </si>
  <si>
    <t>rledesma1976@gmail.com</t>
  </si>
  <si>
    <t>October 20, 2020 12:31 pm Chicago Time</t>
  </si>
  <si>
    <t>Donald</t>
  </si>
  <si>
    <t>Towles</t>
  </si>
  <si>
    <t>dtowles@austin.rr.com</t>
  </si>
  <si>
    <t>November 12, 2020 8:36 am Chicago Time</t>
  </si>
  <si>
    <t>Amt</t>
  </si>
  <si>
    <t>Briceno</t>
  </si>
  <si>
    <t>asecontractors@gmail.com</t>
  </si>
  <si>
    <t>October 30, 2020 11:46 am Chicago Time</t>
  </si>
  <si>
    <t>Aubrey</t>
  </si>
  <si>
    <t>Hope</t>
  </si>
  <si>
    <t>aubreyh@dfwconstructors.com</t>
  </si>
  <si>
    <t>October 28, 2020 2:40 pm Chicago Time</t>
  </si>
  <si>
    <t>YOLANDA</t>
  </si>
  <si>
    <t>CAZARES</t>
  </si>
  <si>
    <t>ycazares@crane-works.com</t>
  </si>
  <si>
    <t>October 27, 2020 1:38 pm Chicago Time</t>
  </si>
  <si>
    <t>El</t>
  </si>
  <si>
    <t>Ga</t>
  </si>
  <si>
    <t>elgarctx@gmail.com</t>
  </si>
  <si>
    <t>November 6, 2020 8:47 pm Chicago Time</t>
  </si>
  <si>
    <t>Irene</t>
  </si>
  <si>
    <t>Zucker</t>
  </si>
  <si>
    <t>izucker@verbacom.com</t>
  </si>
  <si>
    <t>October 30, 2020 1:56 pm Chicago Time</t>
  </si>
  <si>
    <t>Amanda</t>
  </si>
  <si>
    <t>Smith</t>
  </si>
  <si>
    <t>amanda@mahuyaindustries.com</t>
  </si>
  <si>
    <t>October 29, 2020 1:34 pm Chicago Time</t>
  </si>
  <si>
    <t>Patricia</t>
  </si>
  <si>
    <t>Parker</t>
  </si>
  <si>
    <t>patparker@drgeosciences.com</t>
  </si>
  <si>
    <t>November 11, 2020 12:26 pm Chicago Time</t>
  </si>
  <si>
    <t>Birt</t>
  </si>
  <si>
    <t>Finney</t>
  </si>
  <si>
    <t>birt@birtfinneycpa.com</t>
  </si>
  <si>
    <t>October 21, 2020 3:14 pm Chicago Time</t>
  </si>
  <si>
    <t>Dale</t>
  </si>
  <si>
    <t>Blackshire</t>
  </si>
  <si>
    <t>info@shireexpresstransportation.com</t>
  </si>
  <si>
    <t>October 20, 2020 12:21 pm Chicago Time</t>
  </si>
  <si>
    <t>Arlene</t>
  </si>
  <si>
    <t>Solis</t>
  </si>
  <si>
    <t>arlene@regionalhca.org</t>
  </si>
  <si>
    <t>October 16, 2020 1:28 pm Chicago Time</t>
  </si>
  <si>
    <t>Jasmin</t>
  </si>
  <si>
    <t>Heatley</t>
  </si>
  <si>
    <t>jasminheatley@gmail.com</t>
  </si>
  <si>
    <t>October 24, 2020 6:45 pm Chicago Time</t>
  </si>
  <si>
    <t>Carlos</t>
  </si>
  <si>
    <t>Madrigal Jr</t>
  </si>
  <si>
    <t>cmadrigal@wmillc.com</t>
  </si>
  <si>
    <t>November 9, 2020 8:00 am Chicago Time</t>
  </si>
  <si>
    <t>Sherry</t>
  </si>
  <si>
    <t>Perry</t>
  </si>
  <si>
    <t>sherryp@signarama-richardson.com</t>
  </si>
  <si>
    <t>October 28, 2020 9:16 am Chicago Time</t>
  </si>
  <si>
    <t>Michael</t>
  </si>
  <si>
    <t>Rey</t>
  </si>
  <si>
    <t>mrey@ntta.org</t>
  </si>
  <si>
    <t>October 27, 2020 10:37 am Chicago Time</t>
  </si>
  <si>
    <t>Lunger</t>
  </si>
  <si>
    <t>mlunger@ntta.org</t>
  </si>
  <si>
    <t>November 9, 2020 3:04 pm Chicago Time</t>
  </si>
  <si>
    <t>John</t>
  </si>
  <si>
    <t>Bewley</t>
  </si>
  <si>
    <t>jbewley@jagoepublic.com</t>
  </si>
  <si>
    <t>October 26, 2020 3:19 pm Chicago Time</t>
  </si>
  <si>
    <t>Nick</t>
  </si>
  <si>
    <t>Merritt</t>
  </si>
  <si>
    <t>nickey@merrittins.com</t>
  </si>
  <si>
    <t>November 12, 2020 9:35 am Chicago Time</t>
  </si>
  <si>
    <t>Tessa</t>
  </si>
  <si>
    <t>Stinson</t>
  </si>
  <si>
    <t>tessa@titanium-commercial.com</t>
  </si>
  <si>
    <t>October 20, 2020 12:52 pm Chicago Time</t>
  </si>
  <si>
    <t>Dhruva</t>
  </si>
  <si>
    <t>Lahon</t>
  </si>
  <si>
    <t>dhruva.lahon@kimley-horn.com</t>
  </si>
  <si>
    <t>October 20, 2020 8:08 am Chicago Time</t>
  </si>
  <si>
    <t>Del Richardson &amp; Associates Inc.</t>
  </si>
  <si>
    <t>Garcia</t>
  </si>
  <si>
    <t>maritsag@drainc.com</t>
  </si>
  <si>
    <t>October 28, 2020 11:05 am Chicago Time</t>
  </si>
  <si>
    <t>Riley</t>
  </si>
  <si>
    <t>OBrien</t>
  </si>
  <si>
    <t>riley.obrien@ads-pipe.com</t>
  </si>
  <si>
    <t>October 20, 2020 9:17 pm Chicago Time</t>
  </si>
  <si>
    <t>Ann</t>
  </si>
  <si>
    <t>Adams</t>
  </si>
  <si>
    <t>aadams@roneengineers.com</t>
  </si>
  <si>
    <t>October 27, 2020 2:42 pm Chicago Time</t>
  </si>
  <si>
    <t>Octavio</t>
  </si>
  <si>
    <t>Manzano</t>
  </si>
  <si>
    <t>octavio@apfelbaumind.com</t>
  </si>
  <si>
    <t>October 25, 2020 4:03 pm Chicago Time</t>
  </si>
  <si>
    <t>Afzaal</t>
  </si>
  <si>
    <t>Hafeez</t>
  </si>
  <si>
    <t>nash1cm@gmail.com</t>
  </si>
  <si>
    <t>October 20, 2020 7:46 pm Chicago Time</t>
  </si>
  <si>
    <t>Benjamin</t>
  </si>
  <si>
    <t>Turpin</t>
  </si>
  <si>
    <t>renaissancecapitaltx@gmail.com</t>
  </si>
  <si>
    <t>November 6, 2020 1:33 pm Chicago Time</t>
  </si>
  <si>
    <t>Njeh</t>
  </si>
  <si>
    <t>njeh.smith@tsidkenugroup.com</t>
  </si>
  <si>
    <t>October 20, 2020 9:02 am Chicago Time</t>
  </si>
  <si>
    <t>Jeffery</t>
  </si>
  <si>
    <t>Postell</t>
  </si>
  <si>
    <t>jeff@postlgroup.com</t>
  </si>
  <si>
    <t>November 8, 2020 5:07 pm Chicago Time</t>
  </si>
  <si>
    <t>Arne</t>
  </si>
  <si>
    <t>Euler</t>
  </si>
  <si>
    <t>nouza_@hotmail.com</t>
  </si>
  <si>
    <t>November 11, 2020 3:57 pm Chicago Time</t>
  </si>
  <si>
    <t>Brazil</t>
  </si>
  <si>
    <t>THELMA</t>
  </si>
  <si>
    <t>CLEMONS</t>
  </si>
  <si>
    <t>thelma88@prodigy.net</t>
  </si>
  <si>
    <t>November 2, 2020 2:56 pm Chicago Time</t>
  </si>
  <si>
    <t>David</t>
  </si>
  <si>
    <t>Evans</t>
  </si>
  <si>
    <t>devans@ntta.org</t>
  </si>
  <si>
    <t>November 9, 2020 1:56 pm Chicago Time</t>
  </si>
  <si>
    <t>Oraios</t>
  </si>
  <si>
    <t>Ward</t>
  </si>
  <si>
    <t>orward@abundansit.com</t>
  </si>
  <si>
    <t>October 20, 2020 9:52 am Chicago Time</t>
  </si>
  <si>
    <t>Angela</t>
  </si>
  <si>
    <t>Berry Roberson</t>
  </si>
  <si>
    <t>aroberson@ferrovial.us</t>
  </si>
  <si>
    <t>October 19, 2020 10:56 am Chicago Time</t>
  </si>
  <si>
    <t>Ola</t>
  </si>
  <si>
    <t>pluvent@gmail.com</t>
  </si>
  <si>
    <t>October 27, 2020 8:08 am Chicago Time</t>
  </si>
  <si>
    <t>Mike</t>
  </si>
  <si>
    <t>Stevenson</t>
  </si>
  <si>
    <t>mikes@membersltd.com</t>
  </si>
  <si>
    <t>October 20, 2020 10:34 am Chicago Time</t>
  </si>
  <si>
    <t>Christopher</t>
  </si>
  <si>
    <t>Tolar</t>
  </si>
  <si>
    <t>chris@bowmanengineers.com</t>
  </si>
  <si>
    <t>October 28, 2020 2:22 pm Chicago Time</t>
  </si>
  <si>
    <t>Jaime</t>
  </si>
  <si>
    <t>Serdan</t>
  </si>
  <si>
    <t>js@cargoliftusa.com</t>
  </si>
  <si>
    <t>November 6, 2020 9:15 am Chicago Time</t>
  </si>
  <si>
    <t>Raquel</t>
  </si>
  <si>
    <t>Ibarra</t>
  </si>
  <si>
    <t>ibarra@ibarraengineers.com</t>
  </si>
  <si>
    <t>October 28, 2020 12:43 pm Chicago Time</t>
  </si>
  <si>
    <t>Cherron</t>
  </si>
  <si>
    <t>Covington</t>
  </si>
  <si>
    <t>ccconsultingsvc@gmail.com</t>
  </si>
  <si>
    <t>October 20, 2020 9:29 pm Chicago Time</t>
  </si>
  <si>
    <t>Kelley</t>
  </si>
  <si>
    <t>Eubanks</t>
  </si>
  <si>
    <t>ke@designconstructbykee.com</t>
  </si>
  <si>
    <t>October 21, 2020 2:04 pm Chicago Time</t>
  </si>
  <si>
    <t>Ernanda</t>
  </si>
  <si>
    <t>White</t>
  </si>
  <si>
    <t>blackgirlsdrone@gmail.com</t>
  </si>
  <si>
    <t>October 28, 2020 8:47 am Chicago Time</t>
  </si>
  <si>
    <t>BLAKE</t>
  </si>
  <si>
    <t>PEMBERTON</t>
  </si>
  <si>
    <t>blake@pipehunter.com</t>
  </si>
  <si>
    <t>October 28, 2020 10:46 am Chicago Time</t>
  </si>
  <si>
    <t>Rick</t>
  </si>
  <si>
    <t>Carlyle</t>
  </si>
  <si>
    <t>rick.carlyle@gcinc.com</t>
  </si>
  <si>
    <t>October 19, 2020 10:52 am Chicago Time</t>
  </si>
  <si>
    <t>Henry</t>
  </si>
  <si>
    <t>Rolfe</t>
  </si>
  <si>
    <t>info@dfwtrucking.com</t>
  </si>
  <si>
    <t>October 31, 2020 4:37 am Chicago Time</t>
  </si>
  <si>
    <t>Brice</t>
  </si>
  <si>
    <t>Sanders</t>
  </si>
  <si>
    <t>bsanders@pavetex.com</t>
  </si>
  <si>
    <t>October 28, 2020 9:53 am Chicago Time</t>
  </si>
  <si>
    <t>Demira</t>
  </si>
  <si>
    <t>Devoil</t>
  </si>
  <si>
    <t>info@devoilsolutions.com</t>
  </si>
  <si>
    <t>October 20, 2020 10:16 am Chicago Time</t>
  </si>
  <si>
    <t>Marvin</t>
  </si>
  <si>
    <t>mgarcia@pavetex.com</t>
  </si>
  <si>
    <t>October 28, 2020 9:05 am Chicago Time</t>
  </si>
  <si>
    <t>Heather</t>
  </si>
  <si>
    <t>h.nkelley@yahoo.com</t>
  </si>
  <si>
    <t>October 20, 2020 9:25 am Chicago Time</t>
  </si>
  <si>
    <t>Chris</t>
  </si>
  <si>
    <t>Ndukwe</t>
  </si>
  <si>
    <t>chrisn@leepopo.com</t>
  </si>
  <si>
    <t>October 28, 2020 10:56 am Chicago Time</t>
  </si>
  <si>
    <t>Thad</t>
  </si>
  <si>
    <t>Pearson</t>
  </si>
  <si>
    <t>tmp110167@gmail.com</t>
  </si>
  <si>
    <t>October 20, 2020 11:42 am Chicago Time</t>
  </si>
  <si>
    <t>Kelli</t>
  </si>
  <si>
    <t>Kelly</t>
  </si>
  <si>
    <t>kelli.kelly@kiewit.com</t>
  </si>
  <si>
    <t>October 19, 2020 11:24 am Chicago Time</t>
  </si>
  <si>
    <t>Bret</t>
  </si>
  <si>
    <t>McMillan</t>
  </si>
  <si>
    <t>bret@kabexc.com</t>
  </si>
  <si>
    <t>October 29, 2020 2:30 pm Chicago Time</t>
  </si>
  <si>
    <t>Tayyari</t>
  </si>
  <si>
    <t>dtayyari@dikita.com</t>
  </si>
  <si>
    <t>October 20, 2020 9:31 am Chicago Time</t>
  </si>
  <si>
    <t>Lexi</t>
  </si>
  <si>
    <t>Halsey</t>
  </si>
  <si>
    <t>info@theashelyngroup.com</t>
  </si>
  <si>
    <t>October 31, 2020 3:07 pm Chicago Time</t>
  </si>
  <si>
    <t>Sharanda</t>
  </si>
  <si>
    <t>Coleman- Manteca</t>
  </si>
  <si>
    <t>phdresources1@gmail.com</t>
  </si>
  <si>
    <t>November 6, 2020 10:14 am Chicago Time</t>
  </si>
  <si>
    <t>Kim</t>
  </si>
  <si>
    <t>Carnes</t>
  </si>
  <si>
    <t>info@allout-construction.com</t>
  </si>
  <si>
    <t>October 28, 2020 3:13 pm Chicago Time</t>
  </si>
  <si>
    <t>Sheng</t>
  </si>
  <si>
    <t>Ding</t>
  </si>
  <si>
    <t>sheng@bestofmaterials.com</t>
  </si>
  <si>
    <t>November 12, 2020 9:25 am Chicago Time</t>
  </si>
  <si>
    <t>Arnold</t>
  </si>
  <si>
    <t>marnold@flatironcorp.com</t>
  </si>
  <si>
    <t>November 9, 2020 9:57 am Chicago Time</t>
  </si>
  <si>
    <t>Ben</t>
  </si>
  <si>
    <t>Tucker</t>
  </si>
  <si>
    <t>info@earthhaulers.com</t>
  </si>
  <si>
    <t>October 20, 2020 9:27 am Chicago Time</t>
  </si>
  <si>
    <t>Linda</t>
  </si>
  <si>
    <t>Loggins</t>
  </si>
  <si>
    <t>linda@freedomfreightbrokers.com</t>
  </si>
  <si>
    <t>November 6, 2020 8:39 am Chicago Time</t>
  </si>
  <si>
    <t>Frank</t>
  </si>
  <si>
    <t>Miller</t>
  </si>
  <si>
    <t>fmiller@barricadesunlimited.com</t>
  </si>
  <si>
    <t>November 2, 2020 9:59 am Chicago Time</t>
  </si>
  <si>
    <t>Jeremy</t>
  </si>
  <si>
    <t>Farris</t>
  </si>
  <si>
    <t>jfarris@indeed.com</t>
  </si>
  <si>
    <t>October 28, 2020 2:53 pm Chicago Time</t>
  </si>
  <si>
    <t>Cassi</t>
  </si>
  <si>
    <t>Alexander</t>
  </si>
  <si>
    <t>calexander@spartanreinforcing.com</t>
  </si>
  <si>
    <t>October 24, 2020 9:15 am Chicago Time</t>
  </si>
  <si>
    <t>Stephen</t>
  </si>
  <si>
    <t>Hines</t>
  </si>
  <si>
    <t>thines@architecttomhines.com</t>
  </si>
  <si>
    <t>October 28, 2020 10:41 am Chicago Time</t>
  </si>
  <si>
    <t>Kristen</t>
  </si>
  <si>
    <t>ksmith@agctx.org</t>
  </si>
  <si>
    <t>November 4, 2020 9:15 am Chicago Time</t>
  </si>
  <si>
    <t>Franklin</t>
  </si>
  <si>
    <t>Windom</t>
  </si>
  <si>
    <t>service@dwtruckingca.com</t>
  </si>
  <si>
    <t>October 24, 2020 11:47 pm Chicago Time</t>
  </si>
  <si>
    <t>Cherie</t>
  </si>
  <si>
    <t>Gordon</t>
  </si>
  <si>
    <t>gordoncherie32@gmail.com</t>
  </si>
  <si>
    <t>October 20, 2020 10:33 am Chicago Time</t>
  </si>
  <si>
    <t>Scotty</t>
  </si>
  <si>
    <t>Shavers</t>
  </si>
  <si>
    <t>sshavers@barricade.com</t>
  </si>
  <si>
    <t>October 26, 2020 9:46 am Chicago Time</t>
  </si>
  <si>
    <t>ssshavers@eaglebarricade.com</t>
  </si>
  <si>
    <t>October 20, 2020 9:18 am Chicago Time</t>
  </si>
  <si>
    <t>Mitch</t>
  </si>
  <si>
    <t>Damek</t>
  </si>
  <si>
    <t>mdamek@championfs.com</t>
  </si>
  <si>
    <t>October 28, 2020 10:29 am Chicago Time</t>
  </si>
  <si>
    <t>Aaron</t>
  </si>
  <si>
    <t>Cruz</t>
  </si>
  <si>
    <t>aaron.cruz95@gmail.com</t>
  </si>
  <si>
    <t>November 10, 2020 6:24 pm Chicago Time</t>
  </si>
  <si>
    <t>Mitchell</t>
  </si>
  <si>
    <t>patricia@nextgenbincleaning.com</t>
  </si>
  <si>
    <t>Glen</t>
  </si>
  <si>
    <t>Winston</t>
  </si>
  <si>
    <t>glensdrone@gmail.com</t>
  </si>
  <si>
    <t>November 6, 2020 9:24 am Chicago Time</t>
  </si>
  <si>
    <t>Webb</t>
  </si>
  <si>
    <t>jwebb@aimscompanies.com</t>
  </si>
  <si>
    <t>October 28, 2020 8:59 am Chicago Time</t>
  </si>
  <si>
    <t>Lajara</t>
  </si>
  <si>
    <t>jlajara@alliancegeoservices.com</t>
  </si>
  <si>
    <t>November 6, 2020 8:26 am Chicago Time</t>
  </si>
  <si>
    <t>Grace</t>
  </si>
  <si>
    <t>Mukui</t>
  </si>
  <si>
    <t>grace@kegralogistics.com</t>
  </si>
  <si>
    <t>October 28, 2020 8:57 am Chicago Time</t>
  </si>
  <si>
    <t>Ruby</t>
  </si>
  <si>
    <t>Williams</t>
  </si>
  <si>
    <t>ruby@otconst.com</t>
  </si>
  <si>
    <t>November 5, 2020 10:42 am Chicago Time</t>
  </si>
  <si>
    <t>Tammie</t>
  </si>
  <si>
    <t>Long</t>
  </si>
  <si>
    <t>tammie@arthurchell.com</t>
  </si>
  <si>
    <t>October 20, 2020 10:14 pm Chicago Time</t>
  </si>
  <si>
    <t>Burnett</t>
  </si>
  <si>
    <t>ksburnett@sundt.com</t>
  </si>
  <si>
    <t>October 20, 2020 8:52 am Chicago Time</t>
  </si>
  <si>
    <t>YVONNE</t>
  </si>
  <si>
    <t>ROBINSON</t>
  </si>
  <si>
    <t>jtii1construction@gmail.com</t>
  </si>
  <si>
    <t>October 24, 2020 10:10 am Chicago Time</t>
  </si>
  <si>
    <t>Seaman</t>
  </si>
  <si>
    <t>angela@seaman-group.com</t>
  </si>
  <si>
    <t>October 20, 2020 9:50 am Chicago Time</t>
  </si>
  <si>
    <t>Tammy</t>
  </si>
  <si>
    <t>Demery</t>
  </si>
  <si>
    <t>tdemery@81logisticsgroup.com</t>
  </si>
  <si>
    <t>October 30, 2020 1:46 pm Chicago Time</t>
  </si>
  <si>
    <t>Carol</t>
  </si>
  <si>
    <t>Stephens</t>
  </si>
  <si>
    <t>cstephens@ntta.org</t>
  </si>
  <si>
    <t>October 19, 2020 3:46 pm Chicago Time</t>
  </si>
  <si>
    <t>Brent</t>
  </si>
  <si>
    <t>Douglas</t>
  </si>
  <si>
    <t>bdouglas@geotechsolutions.us</t>
  </si>
  <si>
    <t>October 28, 2020 9:46 pm Chicago Time</t>
  </si>
  <si>
    <t>Steven</t>
  </si>
  <si>
    <t>Braley</t>
  </si>
  <si>
    <t>stevenb@qmfsteel.com</t>
  </si>
  <si>
    <t>October 29, 2020 9:13 am Chicago Time</t>
  </si>
  <si>
    <t>Jan</t>
  </si>
  <si>
    <t>Naidu</t>
  </si>
  <si>
    <t>annapurnasolutionsllc@gmail.com</t>
  </si>
  <si>
    <t>October 28, 2020 8:46 am Chicago Time</t>
  </si>
  <si>
    <t>Aparicio</t>
  </si>
  <si>
    <t>japaricio@restl.com</t>
  </si>
  <si>
    <t>November 12, 2020 10:01 am Chicago Time</t>
  </si>
  <si>
    <t>Dev</t>
  </si>
  <si>
    <t>Chelliah</t>
  </si>
  <si>
    <t>dchelliah@hvj.com</t>
  </si>
  <si>
    <t>November 2, 2020 10:46 am Chicago Time</t>
  </si>
  <si>
    <t>Britt</t>
  </si>
  <si>
    <t>Walter</t>
  </si>
  <si>
    <t>britt.walter@kiewit.com</t>
  </si>
  <si>
    <t>October 20, 2020 4:40 pm Chicago Time</t>
  </si>
  <si>
    <t>Robert</t>
  </si>
  <si>
    <t>Downing</t>
  </si>
  <si>
    <t>big5downing@aol.com</t>
  </si>
  <si>
    <t>October 24, 2020 2:20 pm Chicago Time</t>
  </si>
  <si>
    <t>Sgt. Julio P. Trevino</t>
  </si>
  <si>
    <t>jbtrevino512@aol.com</t>
  </si>
  <si>
    <t>October 24, 2020 9:18 am Chicago Time</t>
  </si>
  <si>
    <t>Partheeban</t>
  </si>
  <si>
    <t>Selvarajah</t>
  </si>
  <si>
    <t>pselvarajah@ariasinc.com</t>
  </si>
  <si>
    <t>October 20, 2020 9:19 am Chicago Time</t>
  </si>
  <si>
    <t>Lisa</t>
  </si>
  <si>
    <t>Galvan</t>
  </si>
  <si>
    <t>lisag@universalfencecompany.com</t>
  </si>
  <si>
    <t>October 30, 2020 2:14 pm Chicago Time</t>
  </si>
  <si>
    <t>Robert and</t>
  </si>
  <si>
    <t>Copeland</t>
  </si>
  <si>
    <t>robert@otconst.com</t>
  </si>
  <si>
    <t>November 12, 2020 9:56 am Chicago Time</t>
  </si>
  <si>
    <t>Idowu</t>
  </si>
  <si>
    <t>ITIOLA</t>
  </si>
  <si>
    <t>info@lydiapaintinggov.com</t>
  </si>
  <si>
    <t>November 6, 2020 10:22 am Chicago Time</t>
  </si>
  <si>
    <t>Rae</t>
  </si>
  <si>
    <t>Craft</t>
  </si>
  <si>
    <t>rcraft@csinspector.com</t>
  </si>
  <si>
    <t>October 28, 2020 8:21 am Chicago Time</t>
  </si>
  <si>
    <t>Connie</t>
  </si>
  <si>
    <t>Norton</t>
  </si>
  <si>
    <t>connie.norton@zachrycorp.com</t>
  </si>
  <si>
    <t>October 21, 2020 2:09 pm Chicago Time</t>
  </si>
  <si>
    <t>Fadi</t>
  </si>
  <si>
    <t>Faraj</t>
  </si>
  <si>
    <t>ffaraj@hvj.com</t>
  </si>
  <si>
    <t>October 26, 2020 9:34 am Chicago Time</t>
  </si>
  <si>
    <t>Zach</t>
  </si>
  <si>
    <t>Brazzel</t>
  </si>
  <si>
    <t>zach@fleet-lube.com</t>
  </si>
  <si>
    <t>October 30, 2020 4:16 pm Chicago Time</t>
  </si>
  <si>
    <t>Kurt</t>
  </si>
  <si>
    <t>Knebel</t>
  </si>
  <si>
    <t>kknebel@balfourbeattyus.com</t>
  </si>
  <si>
    <t>Eric</t>
  </si>
  <si>
    <t>egarcia@jrbengineering.com</t>
  </si>
  <si>
    <t>November 11, 2020 10:08 am Chicago Time</t>
  </si>
  <si>
    <t>Samir</t>
  </si>
  <si>
    <t>Memon</t>
  </si>
  <si>
    <t>sam.royalrebar@gmail.com</t>
  </si>
  <si>
    <t>October 27, 2020 4:37 pm Chicago Time</t>
  </si>
  <si>
    <t>Amy</t>
  </si>
  <si>
    <t>Moore</t>
  </si>
  <si>
    <t>amy@theburrellgroup.net</t>
  </si>
  <si>
    <t>November 6, 2020 11:30 am Chicago Time</t>
  </si>
  <si>
    <t>Reginald</t>
  </si>
  <si>
    <t>Valentine</t>
  </si>
  <si>
    <t>rvalentine@ntta.org</t>
  </si>
  <si>
    <t>October 28, 2020 3:09 pm Chicago Time</t>
  </si>
  <si>
    <t>Andre</t>
  </si>
  <si>
    <t>Hawks</t>
  </si>
  <si>
    <t>andre.hawks@geostructuralengineering.com</t>
  </si>
  <si>
    <t>November 12, 2020 9:21 am Chicago Time</t>
  </si>
  <si>
    <t>Lakecha</t>
  </si>
  <si>
    <t>Brown</t>
  </si>
  <si>
    <t>lakecha.brown@outlook.com</t>
  </si>
  <si>
    <t>October 28, 2020 10:55 am Chicago Time</t>
  </si>
  <si>
    <t>lucia</t>
  </si>
  <si>
    <t>munoz</t>
  </si>
  <si>
    <t>lucia@bestpricedmaterial.com</t>
  </si>
  <si>
    <t>Bill</t>
  </si>
  <si>
    <t>Hasbrook</t>
  </si>
  <si>
    <t>bhasbrook@kleinfelder.com</t>
  </si>
  <si>
    <t>October 20, 2020 8:59 am Chicago Time</t>
  </si>
  <si>
    <t>Sharon</t>
  </si>
  <si>
    <t>Chandler</t>
  </si>
  <si>
    <t>schandler@flatironcorp.com</t>
  </si>
  <si>
    <t>October 26, 2020 11:05 am Chicago Time</t>
  </si>
  <si>
    <t>Lance</t>
  </si>
  <si>
    <t>Gardner</t>
  </si>
  <si>
    <t>lgardner@consultaegis.com</t>
  </si>
  <si>
    <t>October 30, 2020 2:41 pm Chicago Time</t>
  </si>
  <si>
    <t>Brandi</t>
  </si>
  <si>
    <t>Tackett</t>
  </si>
  <si>
    <t>brandi@texbraska.com</t>
  </si>
  <si>
    <t>October 27, 2020 5:20 pm Chicago Time</t>
  </si>
  <si>
    <t>Tobias</t>
  </si>
  <si>
    <t>Seastrong</t>
  </si>
  <si>
    <t>estimating@eaglebarricade.com</t>
  </si>
  <si>
    <t>October 21, 2020 9:25 am Chicago Time</t>
  </si>
  <si>
    <t>Miguel</t>
  </si>
  <si>
    <t>Duarte</t>
  </si>
  <si>
    <t>miguel@iconestcivilworks.com</t>
  </si>
  <si>
    <t>October 25, 2020 8:04 am Chicago Time</t>
  </si>
  <si>
    <t>Pete</t>
  </si>
  <si>
    <t>McKone</t>
  </si>
  <si>
    <t>pmckone@wcgrp.com</t>
  </si>
  <si>
    <t>October 20, 2020 11:06 am Chicago Time</t>
  </si>
  <si>
    <t>sdouglas@potereconstruction.com</t>
  </si>
  <si>
    <t>Rachel</t>
  </si>
  <si>
    <t>Hargers</t>
  </si>
  <si>
    <t>rachel.hargers@yahoo.com</t>
  </si>
  <si>
    <t>November 9, 2020 1:58 pm Chicago Time</t>
  </si>
  <si>
    <t>Marc</t>
  </si>
  <si>
    <t>Trevino</t>
  </si>
  <si>
    <t>marc@otconst.com</t>
  </si>
  <si>
    <t>November 3, 2020 7:48 am Chicago Time</t>
  </si>
  <si>
    <t>Yolanda</t>
  </si>
  <si>
    <t>Coleman</t>
  </si>
  <si>
    <t>ycoleman@ferrovial.us</t>
  </si>
  <si>
    <t>November 9, 2020 1:43 pm Chicago Time</t>
  </si>
  <si>
    <t>steven@otconst.com</t>
  </si>
  <si>
    <t>November 3, 2020 5:22 pm Chicago Time</t>
  </si>
  <si>
    <t>Stan</t>
  </si>
  <si>
    <t>Blair</t>
  </si>
  <si>
    <t>stan.blair@cardinalstrategies.com</t>
  </si>
  <si>
    <t>November 6, 2020 8:10 am Chicago Time</t>
  </si>
  <si>
    <t>jesse</t>
  </si>
  <si>
    <t>jenkins</t>
  </si>
  <si>
    <t>j7sevenlive@gmail.com</t>
  </si>
  <si>
    <t>November 2, 2020 3:19 pm Chicago Time</t>
  </si>
  <si>
    <t>Tanika</t>
  </si>
  <si>
    <t>Grover</t>
  </si>
  <si>
    <t>tanika.grover@speedoflightproductsqtllc.com</t>
  </si>
  <si>
    <t>October 28, 2020 3:30 pm Chicago Time</t>
  </si>
  <si>
    <t>john@williamscmgroup.com</t>
  </si>
  <si>
    <t>October 20, 2020 9:58 am Chicago Time</t>
  </si>
  <si>
    <t>Reyna</t>
  </si>
  <si>
    <t>hr@cargoliftusa.com</t>
  </si>
  <si>
    <t>October 20, 2020 10:53 am Chicago Time</t>
  </si>
  <si>
    <t>Kent</t>
  </si>
  <si>
    <t>Andersen</t>
  </si>
  <si>
    <t>kandersen@wfsdallas.com</t>
  </si>
  <si>
    <t>October 20, 2020 2:53 pm Chicago Time</t>
  </si>
  <si>
    <t>Tomika</t>
  </si>
  <si>
    <t>Thompson</t>
  </si>
  <si>
    <t>info@thompsonstransit.com</t>
  </si>
  <si>
    <t>October 20, 2020 9:41 am Chicago Time</t>
  </si>
  <si>
    <t>Fontaine</t>
  </si>
  <si>
    <t>info@falconprojectconsultants.com</t>
  </si>
  <si>
    <t>October 26, 2020 11:22 am Chicago Time</t>
  </si>
  <si>
    <t>Terry</t>
  </si>
  <si>
    <t>Ballard</t>
  </si>
  <si>
    <t>terryb@ballardgoldgroup.com</t>
  </si>
  <si>
    <t>October 28, 2020 11:03 am Chicago Time</t>
  </si>
  <si>
    <t>Colleen</t>
  </si>
  <si>
    <t>Richter</t>
  </si>
  <si>
    <t>colleen.richter@covalentrg.com</t>
  </si>
  <si>
    <t>October 22, 2020 8:32 am Chicago Time</t>
  </si>
  <si>
    <t>James</t>
  </si>
  <si>
    <t>wdcintl@yahoo.com</t>
  </si>
  <si>
    <t>November 7, 2020 8:40 pm Chicago Time</t>
  </si>
  <si>
    <t>Dave</t>
  </si>
  <si>
    <t>Rambaran</t>
  </si>
  <si>
    <t>fannydrgeo@gmail.com</t>
  </si>
  <si>
    <t>October 22, 2020 2:53 pm Chicago Time</t>
  </si>
  <si>
    <t>SAM</t>
  </si>
  <si>
    <t>NAVARRO</t>
  </si>
  <si>
    <t>office@precisetrucks.com</t>
  </si>
  <si>
    <t>October 30, 2020 1:45 pm Chicago Time</t>
  </si>
  <si>
    <t>Lloyd</t>
  </si>
  <si>
    <t>Turner</t>
  </si>
  <si>
    <t>lturner@gmcocorp.com</t>
  </si>
  <si>
    <t>October 28, 2020 8:34 am Chicago Time</t>
  </si>
  <si>
    <t>Mark</t>
  </si>
  <si>
    <t>Bouma</t>
  </si>
  <si>
    <t>mbouma@ntta.org</t>
  </si>
  <si>
    <t>October 19, 2020 2:42 pm Chicago Time</t>
  </si>
  <si>
    <t>Moses</t>
  </si>
  <si>
    <t>Aito</t>
  </si>
  <si>
    <t>maito@ntta.org</t>
  </si>
  <si>
    <t>October 19, 2020 4:05 pm Chicago Time</t>
  </si>
  <si>
    <t>Daylon</t>
  </si>
  <si>
    <t>Carroll</t>
  </si>
  <si>
    <t>daylonc@ntta.org</t>
  </si>
  <si>
    <t>October 27, 2020 9:58 am Chicago Time</t>
  </si>
  <si>
    <t>Priya</t>
  </si>
  <si>
    <t>Chandran</t>
  </si>
  <si>
    <t>pchandran@ntta.org</t>
  </si>
  <si>
    <t>October 19, 2020 10:46 am Chicago Time</t>
  </si>
  <si>
    <t>Adrienne</t>
  </si>
  <si>
    <t>adrienne.williams@plcjv.com</t>
  </si>
  <si>
    <t>October 19, 2020 10:39 am Chicago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</si>
</sst>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tabSelected="1" workbookViewId="0">
      <selection activeCell="R3" sqref="R3"/>
    </sheetView>
  </sheetViews>
  <sheetFormatPr defaultRowHeight="14.4" x14ac:dyDescent="0.3"/>
  <cols>
    <col min="1" max="1" width="11" customWidth="1"/>
    <col min="2" max="2" width="20.6640625" customWidth="1"/>
    <col min="3" max="3" width="52.33203125" customWidth="1"/>
    <col min="4" max="4" width="30" customWidth="1"/>
    <col min="5" max="5" width="21.33203125" customWidth="1"/>
    <col min="6" max="6" width="20.6640625" customWidth="1"/>
    <col min="7" max="7" width="28.33203125" customWidth="1"/>
    <col min="8" max="8" width="22.5546875" customWidth="1"/>
    <col min="9" max="9" width="39.109375" customWidth="1"/>
    <col min="10" max="10" width="10.88671875" customWidth="1"/>
    <col min="12" max="12" width="38.77734375" customWidth="1"/>
    <col min="13" max="13" width="13" customWidth="1"/>
    <col min="14" max="14" width="16.77734375" customWidth="1"/>
    <col min="15" max="15" width="38.77734375" customWidth="1"/>
    <col min="16" max="16" width="49.21875" customWidth="1"/>
    <col min="17" max="17" width="17" customWidth="1"/>
    <col min="18" max="18" width="66.44140625" customWidth="1"/>
    <col min="19" max="19" width="19.109375" customWidth="1"/>
    <col min="20" max="20" width="13" customWidth="1"/>
    <col min="21" max="21" width="13.44140625" customWidth="1"/>
    <col min="22" max="22" width="23.44140625" customWidth="1"/>
    <col min="23" max="23" width="47.5546875" customWidth="1"/>
    <col min="24" max="24" width="28.33203125" customWidth="1"/>
    <col min="25" max="25" width="32.77734375" customWidth="1"/>
    <col min="26" max="26" width="30.77734375" customWidth="1"/>
    <col min="27" max="27" width="47.5546875" customWidth="1"/>
  </cols>
  <sheetData>
    <row r="1" spans="1:2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3">
      <c r="A2">
        <v>1</v>
      </c>
      <c r="B2" t="str">
        <f t="shared" ref="B2:B33" si="0">"174015848573313230"</f>
        <v>174015848573313230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35</v>
      </c>
      <c r="K2" t="s">
        <v>34</v>
      </c>
      <c r="L2" t="s">
        <v>36</v>
      </c>
      <c r="M2">
        <v>866114</v>
      </c>
      <c r="N2" t="s">
        <v>35</v>
      </c>
      <c r="O2" t="str">
        <f>"Major Market Rep"</f>
        <v>Major Market Rep</v>
      </c>
      <c r="P2" t="str">
        <f>"Southwest Office Systems"</f>
        <v>Southwest Office Systems</v>
      </c>
      <c r="Q2" t="str">
        <f>"1-9723184240"</f>
        <v>1-9723184240</v>
      </c>
      <c r="R2" t="str">
        <f>"13960 Trinity Blvd"</f>
        <v>13960 Trinity Blvd</v>
      </c>
      <c r="S2" t="str">
        <f>"Euless"</f>
        <v>Euless</v>
      </c>
      <c r="T2" t="str">
        <f>"TX"</f>
        <v>TX</v>
      </c>
      <c r="U2" t="str">
        <f>"76040"</f>
        <v>76040</v>
      </c>
      <c r="V2" t="s">
        <v>37</v>
      </c>
      <c r="W2" t="str">
        <f>"AACATX Member|AGC Member|RHCA Member|Guest"</f>
        <v>AACATX Member|AGC Member|RHCA Member|Guest</v>
      </c>
      <c r="X2" t="str">
        <f>"Yes|No"</f>
        <v>Yes|No</v>
      </c>
      <c r="Y2" t="str">
        <f>"Yes|No"</f>
        <v>Yes|No</v>
      </c>
      <c r="Z2" t="str">
        <f>"Yes|No"</f>
        <v>Yes|No</v>
      </c>
      <c r="AA2" t="str">
        <f>"56"</f>
        <v>56</v>
      </c>
    </row>
    <row r="3" spans="1:27" x14ac:dyDescent="0.3">
      <c r="A3">
        <v>2</v>
      </c>
      <c r="B3" t="str">
        <f t="shared" si="0"/>
        <v>174015848573313230</v>
      </c>
      <c r="C3" t="s">
        <v>27</v>
      </c>
      <c r="D3" t="s">
        <v>28</v>
      </c>
      <c r="E3" t="s">
        <v>29</v>
      </c>
      <c r="F3" t="s">
        <v>30</v>
      </c>
      <c r="G3" t="s">
        <v>38</v>
      </c>
      <c r="H3" t="s">
        <v>39</v>
      </c>
      <c r="I3" t="s">
        <v>40</v>
      </c>
      <c r="J3" t="s">
        <v>35</v>
      </c>
      <c r="K3" t="s">
        <v>35</v>
      </c>
      <c r="L3" t="s">
        <v>41</v>
      </c>
      <c r="M3">
        <v>600605</v>
      </c>
      <c r="N3" t="s">
        <v>35</v>
      </c>
      <c r="O3" t="str">
        <f>"Business development manager"</f>
        <v>Business development manager</v>
      </c>
      <c r="P3" t="str">
        <f>"Dallas lighthouse for the blind"</f>
        <v>Dallas lighthouse for the blind</v>
      </c>
      <c r="Q3" t="str">
        <f>"1-2146819929"</f>
        <v>1-2146819929</v>
      </c>
      <c r="R3" t="str">
        <f>"4306 Capitol ave"</f>
        <v>4306 Capitol ave</v>
      </c>
      <c r="S3" t="str">
        <f>"Dallas"</f>
        <v>Dallas</v>
      </c>
      <c r="T3" t="str">
        <f>"Texas"</f>
        <v>Texas</v>
      </c>
      <c r="U3" t="str">
        <f>"75204"</f>
        <v>75204</v>
      </c>
      <c r="V3" t="s">
        <v>37</v>
      </c>
      <c r="W3" t="str">
        <f>"Guest"</f>
        <v>Guest</v>
      </c>
      <c r="X3" t="str">
        <f>"No"</f>
        <v>No</v>
      </c>
      <c r="Y3" t="str">
        <f>"Yes"</f>
        <v>Yes</v>
      </c>
      <c r="Z3" t="str">
        <f>"Yes"</f>
        <v>Yes</v>
      </c>
      <c r="AA3" t="str">
        <f>"60"</f>
        <v>60</v>
      </c>
    </row>
    <row r="4" spans="1:27" x14ac:dyDescent="0.3">
      <c r="A4">
        <v>3</v>
      </c>
      <c r="B4" t="str">
        <f t="shared" si="0"/>
        <v>174015848573313230</v>
      </c>
      <c r="C4" t="s">
        <v>27</v>
      </c>
      <c r="D4" t="s">
        <v>28</v>
      </c>
      <c r="E4" t="s">
        <v>29</v>
      </c>
      <c r="F4" t="s">
        <v>30</v>
      </c>
      <c r="G4" t="s">
        <v>42</v>
      </c>
      <c r="H4" t="s">
        <v>43</v>
      </c>
      <c r="I4" t="s">
        <v>44</v>
      </c>
      <c r="J4" t="s">
        <v>35</v>
      </c>
      <c r="K4" t="s">
        <v>35</v>
      </c>
      <c r="L4" t="s">
        <v>45</v>
      </c>
      <c r="M4">
        <v>584057</v>
      </c>
      <c r="N4" t="s">
        <v>35</v>
      </c>
      <c r="O4" t="str">
        <f>"Project Director"</f>
        <v>Project Director</v>
      </c>
      <c r="P4" t="str">
        <f>"U.S. DOT Gulf Region SBTRC"</f>
        <v>U.S. DOT Gulf Region SBTRC</v>
      </c>
      <c r="Q4" t="str">
        <f>"1-9724002978"</f>
        <v>1-9724002978</v>
      </c>
      <c r="R4" t="str">
        <f>"1402 Corinth Ste 225"</f>
        <v>1402 Corinth Ste 225</v>
      </c>
      <c r="S4" t="str">
        <f>"Dallas"</f>
        <v>Dallas</v>
      </c>
      <c r="T4" t="str">
        <f>"TX"</f>
        <v>TX</v>
      </c>
      <c r="U4" t="str">
        <f>"75215"</f>
        <v>75215</v>
      </c>
      <c r="V4" t="s">
        <v>37</v>
      </c>
      <c r="W4" t="str">
        <f>"RHCA Member|Guest"</f>
        <v>RHCA Member|Guest</v>
      </c>
      <c r="X4" t="str">
        <f>"No"</f>
        <v>No</v>
      </c>
      <c r="Y4" t="str">
        <f>"No"</f>
        <v>No</v>
      </c>
      <c r="Z4" t="str">
        <f>"No"</f>
        <v>No</v>
      </c>
      <c r="AA4" t="str">
        <f>"15"</f>
        <v>15</v>
      </c>
    </row>
    <row r="5" spans="1:27" x14ac:dyDescent="0.3">
      <c r="A5">
        <v>4</v>
      </c>
      <c r="B5" t="str">
        <f t="shared" si="0"/>
        <v>174015848573313230</v>
      </c>
      <c r="C5" t="s">
        <v>27</v>
      </c>
      <c r="D5" t="s">
        <v>28</v>
      </c>
      <c r="E5" t="s">
        <v>29</v>
      </c>
      <c r="F5" t="s">
        <v>30</v>
      </c>
      <c r="G5" t="s">
        <v>46</v>
      </c>
      <c r="H5" t="s">
        <v>47</v>
      </c>
      <c r="I5" t="s">
        <v>48</v>
      </c>
      <c r="J5" t="s">
        <v>35</v>
      </c>
      <c r="K5" t="s">
        <v>34</v>
      </c>
      <c r="L5" t="s">
        <v>49</v>
      </c>
      <c r="M5">
        <v>883262</v>
      </c>
      <c r="N5" t="s">
        <v>35</v>
      </c>
      <c r="O5" t="str">
        <f>"Member"</f>
        <v>Member</v>
      </c>
      <c r="P5" t="str">
        <f>"EAGLE BARRICADE, LLC"</f>
        <v>EAGLE BARRICADE, LLC</v>
      </c>
      <c r="Q5" t="str">
        <f>"1-2144550288"</f>
        <v>1-2144550288</v>
      </c>
      <c r="R5" t="str">
        <f>"101C N.  Greenville Avenue, #428"</f>
        <v>101C N.  Greenville Avenue, #428</v>
      </c>
      <c r="S5" t="str">
        <f>"ALLEN"</f>
        <v>ALLEN</v>
      </c>
      <c r="T5" t="str">
        <f>"TX"</f>
        <v>TX</v>
      </c>
      <c r="U5" t="str">
        <f>"75002-4322"</f>
        <v>75002-4322</v>
      </c>
      <c r="V5" t="s">
        <v>37</v>
      </c>
      <c r="W5" t="str">
        <f>"AGC Member"</f>
        <v>AGC Member</v>
      </c>
      <c r="X5" t="str">
        <f>"Yes"</f>
        <v>Yes</v>
      </c>
      <c r="Y5" t="str">
        <f>"Yes"</f>
        <v>Yes</v>
      </c>
      <c r="Z5" t="str">
        <f>"Yes"</f>
        <v>Yes</v>
      </c>
      <c r="AA5" t="str">
        <f>"6"</f>
        <v>6</v>
      </c>
    </row>
    <row r="6" spans="1:27" x14ac:dyDescent="0.3">
      <c r="A6">
        <v>5</v>
      </c>
      <c r="B6" t="str">
        <f t="shared" si="0"/>
        <v>174015848573313230</v>
      </c>
      <c r="C6" t="s">
        <v>27</v>
      </c>
      <c r="D6" t="s">
        <v>28</v>
      </c>
      <c r="E6" t="s">
        <v>29</v>
      </c>
      <c r="F6" t="s">
        <v>30</v>
      </c>
      <c r="G6" t="s">
        <v>50</v>
      </c>
      <c r="H6" t="s">
        <v>51</v>
      </c>
      <c r="I6" t="s">
        <v>52</v>
      </c>
      <c r="J6" t="s">
        <v>35</v>
      </c>
      <c r="K6" t="s">
        <v>35</v>
      </c>
      <c r="L6" t="s">
        <v>53</v>
      </c>
      <c r="M6">
        <v>322348</v>
      </c>
      <c r="N6" t="s">
        <v>35</v>
      </c>
      <c r="O6" t="str">
        <f>"Survey Manager"</f>
        <v>Survey Manager</v>
      </c>
      <c r="P6" t="str">
        <f>"KCI Technologies"</f>
        <v>KCI Technologies</v>
      </c>
      <c r="Q6" t="str">
        <f>"1-8175657333"</f>
        <v>1-8175657333</v>
      </c>
      <c r="R6" t="str">
        <f>"5021 Lakawana Street, Suite 501"</f>
        <v>5021 Lakawana Street, Suite 501</v>
      </c>
      <c r="S6" t="str">
        <f>"Dallas"</f>
        <v>Dallas</v>
      </c>
      <c r="T6" t="str">
        <f>"Dallas"</f>
        <v>Dallas</v>
      </c>
      <c r="U6" t="str">
        <f>"75247"</f>
        <v>75247</v>
      </c>
      <c r="V6" t="s">
        <v>37</v>
      </c>
      <c r="W6" t="str">
        <f>"Guest"</f>
        <v>Guest</v>
      </c>
      <c r="X6" t="str">
        <f>"No"</f>
        <v>No</v>
      </c>
      <c r="Y6" t="str">
        <f>"Yes"</f>
        <v>Yes</v>
      </c>
      <c r="Z6" t="str">
        <f>"Yes"</f>
        <v>Yes</v>
      </c>
      <c r="AA6" t="str">
        <f>"65 years"</f>
        <v>65 years</v>
      </c>
    </row>
    <row r="7" spans="1:27" x14ac:dyDescent="0.3">
      <c r="A7">
        <v>6</v>
      </c>
      <c r="B7" t="str">
        <f t="shared" si="0"/>
        <v>174015848573313230</v>
      </c>
      <c r="C7" t="s">
        <v>27</v>
      </c>
      <c r="D7" t="s">
        <v>28</v>
      </c>
      <c r="E7" t="s">
        <v>29</v>
      </c>
      <c r="F7" t="s">
        <v>30</v>
      </c>
      <c r="G7" t="s">
        <v>54</v>
      </c>
      <c r="H7" t="s">
        <v>55</v>
      </c>
      <c r="I7" t="s">
        <v>56</v>
      </c>
      <c r="J7" t="s">
        <v>35</v>
      </c>
      <c r="K7" t="s">
        <v>34</v>
      </c>
      <c r="L7" t="s">
        <v>57</v>
      </c>
      <c r="M7">
        <v>272275</v>
      </c>
      <c r="N7" t="s">
        <v>35</v>
      </c>
      <c r="O7" t="str">
        <f>"General Sales Manager"</f>
        <v>General Sales Manager</v>
      </c>
      <c r="P7" t="str">
        <f>"Pannell Industries"</f>
        <v>Pannell Industries</v>
      </c>
      <c r="Q7" t="str">
        <f>"1-4693711103"</f>
        <v>1-4693711103</v>
      </c>
      <c r="R7" t="str">
        <f>"4361 Cedar Lake Dr"</f>
        <v>4361 Cedar Lake Dr</v>
      </c>
      <c r="S7" t="str">
        <f>"Dallas"</f>
        <v>Dallas</v>
      </c>
      <c r="T7" t="str">
        <f>"TX"</f>
        <v>TX</v>
      </c>
      <c r="U7" t="str">
        <f>"75227"</f>
        <v>75227</v>
      </c>
      <c r="V7" t="s">
        <v>37</v>
      </c>
      <c r="W7" t="str">
        <f>"AACATX Member|AGC Member|RHCA Member"</f>
        <v>AACATX Member|AGC Member|RHCA Member</v>
      </c>
      <c r="X7" t="str">
        <f>"Yes"</f>
        <v>Yes</v>
      </c>
      <c r="Y7" t="str">
        <f>"Yes"</f>
        <v>Yes</v>
      </c>
      <c r="Z7" t="str">
        <f>"Yes"</f>
        <v>Yes</v>
      </c>
      <c r="AA7" t="str">
        <f>"36"</f>
        <v>36</v>
      </c>
    </row>
    <row r="8" spans="1:27" x14ac:dyDescent="0.3">
      <c r="A8">
        <v>7</v>
      </c>
      <c r="B8" t="str">
        <f t="shared" si="0"/>
        <v>174015848573313230</v>
      </c>
      <c r="C8" t="s">
        <v>27</v>
      </c>
      <c r="D8" t="s">
        <v>28</v>
      </c>
      <c r="E8" t="s">
        <v>29</v>
      </c>
      <c r="F8" t="s">
        <v>30</v>
      </c>
      <c r="G8" t="s">
        <v>58</v>
      </c>
      <c r="H8" t="s">
        <v>59</v>
      </c>
      <c r="I8" t="s">
        <v>60</v>
      </c>
      <c r="J8" t="s">
        <v>35</v>
      </c>
      <c r="K8" t="s">
        <v>34</v>
      </c>
      <c r="L8" t="s">
        <v>61</v>
      </c>
      <c r="M8">
        <v>785069</v>
      </c>
      <c r="N8" t="s">
        <v>35</v>
      </c>
      <c r="O8" t="str">
        <f>"vp"</f>
        <v>vp</v>
      </c>
      <c r="P8" t="str">
        <f>"LEEDSMANN CONSTRUCTION INC"</f>
        <v>LEEDSMANN CONSTRUCTION INC</v>
      </c>
      <c r="Q8" t="str">
        <f>"1-9154788440"</f>
        <v>1-9154788440</v>
      </c>
      <c r="R8" t="str">
        <f>"3120 TRAWOOD DR, ste f"</f>
        <v>3120 TRAWOOD DR, ste f</v>
      </c>
      <c r="S8" t="str">
        <f>"El Paso"</f>
        <v>El Paso</v>
      </c>
      <c r="T8" t="str">
        <f>"TX"</f>
        <v>TX</v>
      </c>
      <c r="U8" t="str">
        <f>"79936"</f>
        <v>79936</v>
      </c>
      <c r="V8" t="s">
        <v>37</v>
      </c>
      <c r="W8" t="str">
        <f>"AACATX Member|AGC Member|RHCA Member|Guest"</f>
        <v>AACATX Member|AGC Member|RHCA Member|Guest</v>
      </c>
      <c r="X8" t="str">
        <f>"Yes|No"</f>
        <v>Yes|No</v>
      </c>
      <c r="Y8" t="str">
        <f>"Yes|No"</f>
        <v>Yes|No</v>
      </c>
      <c r="Z8" t="str">
        <f>"Yes|No"</f>
        <v>Yes|No</v>
      </c>
      <c r="AA8" t="str">
        <f>"23"</f>
        <v>23</v>
      </c>
    </row>
    <row r="9" spans="1:27" x14ac:dyDescent="0.3">
      <c r="A9">
        <v>8</v>
      </c>
      <c r="B9" t="str">
        <f t="shared" si="0"/>
        <v>174015848573313230</v>
      </c>
      <c r="C9" t="s">
        <v>27</v>
      </c>
      <c r="D9" t="s">
        <v>28</v>
      </c>
      <c r="E9" t="s">
        <v>29</v>
      </c>
      <c r="F9" t="s">
        <v>30</v>
      </c>
      <c r="G9" t="s">
        <v>62</v>
      </c>
      <c r="H9" t="s">
        <v>63</v>
      </c>
      <c r="I9" t="s">
        <v>64</v>
      </c>
      <c r="J9" t="s">
        <v>35</v>
      </c>
      <c r="K9" t="s">
        <v>35</v>
      </c>
      <c r="L9" t="s">
        <v>65</v>
      </c>
      <c r="M9">
        <v>755011</v>
      </c>
      <c r="N9" t="s">
        <v>35</v>
      </c>
      <c r="O9" t="str">
        <f>"Senior Engineer"</f>
        <v>Senior Engineer</v>
      </c>
      <c r="P9" t="str">
        <f>"TEXAS ENGINEERING CO."</f>
        <v>TEXAS ENGINEERING CO.</v>
      </c>
      <c r="Q9" t="str">
        <f>"1-5127482342"</f>
        <v>1-5127482342</v>
      </c>
      <c r="R9" t="str">
        <f>"1903 TOSCA COVE"</f>
        <v>1903 TOSCA COVE</v>
      </c>
      <c r="S9" t="str">
        <f>"CEDAR PARK"</f>
        <v>CEDAR PARK</v>
      </c>
      <c r="T9" t="str">
        <f>"TX"</f>
        <v>TX</v>
      </c>
      <c r="U9" t="str">
        <f>"78613"</f>
        <v>78613</v>
      </c>
      <c r="V9" t="s">
        <v>37</v>
      </c>
      <c r="W9" t="str">
        <f>"Guest"</f>
        <v>Guest</v>
      </c>
      <c r="X9" t="str">
        <f>"No"</f>
        <v>No</v>
      </c>
      <c r="Y9" t="str">
        <f>"No"</f>
        <v>No</v>
      </c>
      <c r="Z9" t="str">
        <f>"No"</f>
        <v>No</v>
      </c>
      <c r="AA9" t="str">
        <f>"3"</f>
        <v>3</v>
      </c>
    </row>
    <row r="10" spans="1:27" x14ac:dyDescent="0.3">
      <c r="A10">
        <v>9</v>
      </c>
      <c r="B10" t="str">
        <f t="shared" si="0"/>
        <v>174015848573313230</v>
      </c>
      <c r="C10" t="s">
        <v>27</v>
      </c>
      <c r="D10" t="s">
        <v>28</v>
      </c>
      <c r="E10" t="s">
        <v>29</v>
      </c>
      <c r="F10" t="s">
        <v>30</v>
      </c>
      <c r="G10" t="s">
        <v>66</v>
      </c>
      <c r="H10" t="s">
        <v>67</v>
      </c>
      <c r="I10" t="s">
        <v>68</v>
      </c>
      <c r="J10" t="s">
        <v>35</v>
      </c>
      <c r="K10" t="s">
        <v>35</v>
      </c>
      <c r="L10" t="s">
        <v>69</v>
      </c>
      <c r="M10">
        <v>518278</v>
      </c>
      <c r="N10" t="s">
        <v>35</v>
      </c>
      <c r="O10" t="str">
        <f>"CEO"</f>
        <v>CEO</v>
      </c>
      <c r="P10" t="str">
        <f>"ASE CONTRACTORS LLC"</f>
        <v>ASE CONTRACTORS LLC</v>
      </c>
      <c r="Q10" t="str">
        <f>"1-9038516183"</f>
        <v>1-9038516183</v>
      </c>
      <c r="R10" t="str">
        <f>"124 Olive St"</f>
        <v>124 Olive St</v>
      </c>
      <c r="S10" t="str">
        <f>"Corsicana"</f>
        <v>Corsicana</v>
      </c>
      <c r="T10" t="str">
        <f>"Texas"</f>
        <v>Texas</v>
      </c>
      <c r="U10" t="str">
        <f>"75110"</f>
        <v>75110</v>
      </c>
      <c r="V10" t="s">
        <v>37</v>
      </c>
      <c r="W10" t="str">
        <f>"Guest"</f>
        <v>Guest</v>
      </c>
      <c r="X10" t="str">
        <f>"In the process"</f>
        <v>In the process</v>
      </c>
      <c r="Y10" t="str">
        <f t="shared" ref="Y10:Z13" si="1">"No"</f>
        <v>No</v>
      </c>
      <c r="Z10" t="str">
        <f t="shared" si="1"/>
        <v>No</v>
      </c>
      <c r="AA10" t="str">
        <f>"0"</f>
        <v>0</v>
      </c>
    </row>
    <row r="11" spans="1:27" x14ac:dyDescent="0.3">
      <c r="A11">
        <v>10</v>
      </c>
      <c r="B11" t="str">
        <f t="shared" si="0"/>
        <v>174015848573313230</v>
      </c>
      <c r="C11" t="s">
        <v>27</v>
      </c>
      <c r="D11" t="s">
        <v>28</v>
      </c>
      <c r="E11" t="s">
        <v>29</v>
      </c>
      <c r="F11" t="s">
        <v>30</v>
      </c>
      <c r="G11" t="s">
        <v>70</v>
      </c>
      <c r="H11" t="s">
        <v>71</v>
      </c>
      <c r="I11" t="s">
        <v>72</v>
      </c>
      <c r="J11" t="s">
        <v>35</v>
      </c>
      <c r="K11" t="s">
        <v>35</v>
      </c>
      <c r="L11" t="s">
        <v>73</v>
      </c>
      <c r="M11">
        <v>249385</v>
      </c>
      <c r="N11" t="s">
        <v>35</v>
      </c>
      <c r="O11" t="str">
        <f>"COO"</f>
        <v>COO</v>
      </c>
      <c r="P11" t="str">
        <f>"DFW Constructors Holdings, LLC"</f>
        <v>DFW Constructors Holdings, LLC</v>
      </c>
      <c r="Q11" t="str">
        <f>"1-817-932-5512"</f>
        <v>1-817-932-5512</v>
      </c>
      <c r="R11" t="str">
        <f>"1217 Remigton Ranch Rd."</f>
        <v>1217 Remigton Ranch Rd.</v>
      </c>
      <c r="S11" t="str">
        <f>"Mansfield"</f>
        <v>Mansfield</v>
      </c>
      <c r="T11" t="str">
        <f>"Texas"</f>
        <v>Texas</v>
      </c>
      <c r="U11" t="str">
        <f>"76063"</f>
        <v>76063</v>
      </c>
      <c r="V11" t="s">
        <v>37</v>
      </c>
      <c r="W11" t="str">
        <f>"Guest"</f>
        <v>Guest</v>
      </c>
      <c r="X11" t="str">
        <f>"In the process"</f>
        <v>In the process</v>
      </c>
      <c r="Y11" t="str">
        <f t="shared" si="1"/>
        <v>No</v>
      </c>
      <c r="Z11" t="str">
        <f t="shared" si="1"/>
        <v>No</v>
      </c>
      <c r="AA11" t="str">
        <f>"4 yrs"</f>
        <v>4 yrs</v>
      </c>
    </row>
    <row r="12" spans="1:27" x14ac:dyDescent="0.3">
      <c r="A12">
        <v>11</v>
      </c>
      <c r="B12" t="str">
        <f t="shared" si="0"/>
        <v>174015848573313230</v>
      </c>
      <c r="C12" t="s">
        <v>27</v>
      </c>
      <c r="D12" t="s">
        <v>28</v>
      </c>
      <c r="E12" t="s">
        <v>29</v>
      </c>
      <c r="F12" t="s">
        <v>30</v>
      </c>
      <c r="G12" t="s">
        <v>74</v>
      </c>
      <c r="H12" t="s">
        <v>75</v>
      </c>
      <c r="I12" t="s">
        <v>76</v>
      </c>
      <c r="J12" t="s">
        <v>35</v>
      </c>
      <c r="K12" t="s">
        <v>35</v>
      </c>
      <c r="L12" t="s">
        <v>77</v>
      </c>
      <c r="M12">
        <v>227969</v>
      </c>
      <c r="N12" t="s">
        <v>35</v>
      </c>
      <c r="O12" t="str">
        <f>"Sales &amp; Rentals Representative"</f>
        <v>Sales &amp; Rentals Representative</v>
      </c>
      <c r="P12" t="str">
        <f>"CRANEWORKS, INC."</f>
        <v>CRANEWORKS, INC.</v>
      </c>
      <c r="Q12" t="str">
        <f>"1-281-660-3091"</f>
        <v>1-281-660-3091</v>
      </c>
      <c r="R12" t="str">
        <f>"7795 EAST LITTLE YORK ROAD"</f>
        <v>7795 EAST LITTLE YORK ROAD</v>
      </c>
      <c r="S12" t="str">
        <f>"HOUSTON"</f>
        <v>HOUSTON</v>
      </c>
      <c r="T12" t="str">
        <f>"TX"</f>
        <v>TX</v>
      </c>
      <c r="U12" t="str">
        <f>"77016"</f>
        <v>77016</v>
      </c>
      <c r="V12" t="s">
        <v>37</v>
      </c>
      <c r="W12" t="str">
        <f>"Guest"</f>
        <v>Guest</v>
      </c>
      <c r="X12" t="str">
        <f>"No"</f>
        <v>No</v>
      </c>
      <c r="Y12" t="str">
        <f t="shared" si="1"/>
        <v>No</v>
      </c>
      <c r="Z12" t="str">
        <f t="shared" si="1"/>
        <v>No</v>
      </c>
      <c r="AA12" t="str">
        <f>"18"</f>
        <v>18</v>
      </c>
    </row>
    <row r="13" spans="1:27" x14ac:dyDescent="0.3">
      <c r="A13">
        <v>12</v>
      </c>
      <c r="B13" t="str">
        <f t="shared" si="0"/>
        <v>174015848573313230</v>
      </c>
      <c r="C13" t="s">
        <v>27</v>
      </c>
      <c r="D13" t="s">
        <v>28</v>
      </c>
      <c r="E13" t="s">
        <v>29</v>
      </c>
      <c r="F13" t="s">
        <v>30</v>
      </c>
      <c r="G13" t="s">
        <v>78</v>
      </c>
      <c r="H13" t="s">
        <v>79</v>
      </c>
      <c r="I13" t="s">
        <v>80</v>
      </c>
      <c r="J13" t="s">
        <v>35</v>
      </c>
      <c r="K13" t="s">
        <v>34</v>
      </c>
      <c r="L13" t="s">
        <v>81</v>
      </c>
      <c r="M13">
        <v>495630</v>
      </c>
      <c r="N13" t="s">
        <v>35</v>
      </c>
      <c r="O13" t="str">
        <f>"Owner"</f>
        <v>Owner</v>
      </c>
      <c r="P13" t="str">
        <f>"PE"</f>
        <v>PE</v>
      </c>
      <c r="Q13" t="str">
        <f>"1-210/354/4411"</f>
        <v>1-210/354/4411</v>
      </c>
      <c r="R13" t="str">
        <f>"San Antonio"</f>
        <v>San Antonio</v>
      </c>
      <c r="S13" t="str">
        <f>"San Antonio"</f>
        <v>San Antonio</v>
      </c>
      <c r="T13" t="str">
        <f>"Tx"</f>
        <v>Tx</v>
      </c>
      <c r="U13" t="str">
        <f>"78201"</f>
        <v>78201</v>
      </c>
      <c r="V13" t="s">
        <v>37</v>
      </c>
      <c r="W13" t="str">
        <f>"AACATX Member|AGC Member|RHCA Member|Guest"</f>
        <v>AACATX Member|AGC Member|RHCA Member|Guest</v>
      </c>
      <c r="X13" t="str">
        <f>"No|In the process"</f>
        <v>No|In the process</v>
      </c>
      <c r="Y13" t="str">
        <f t="shared" si="1"/>
        <v>No</v>
      </c>
      <c r="Z13" t="str">
        <f t="shared" si="1"/>
        <v>No</v>
      </c>
      <c r="AA13" t="str">
        <f>"11"</f>
        <v>11</v>
      </c>
    </row>
    <row r="14" spans="1:27" x14ac:dyDescent="0.3">
      <c r="A14">
        <v>13</v>
      </c>
      <c r="B14" t="str">
        <f t="shared" si="0"/>
        <v>174015848573313230</v>
      </c>
      <c r="C14" t="s">
        <v>27</v>
      </c>
      <c r="D14" t="s">
        <v>28</v>
      </c>
      <c r="E14" t="s">
        <v>29</v>
      </c>
      <c r="F14" t="s">
        <v>30</v>
      </c>
      <c r="G14" t="s">
        <v>82</v>
      </c>
      <c r="H14" t="s">
        <v>83</v>
      </c>
      <c r="I14" t="s">
        <v>84</v>
      </c>
      <c r="J14" t="s">
        <v>35</v>
      </c>
      <c r="K14" t="s">
        <v>34</v>
      </c>
      <c r="L14" t="s">
        <v>85</v>
      </c>
      <c r="M14">
        <v>563403</v>
      </c>
      <c r="N14" t="s">
        <v>35</v>
      </c>
      <c r="O14" t="str">
        <f>"President"</f>
        <v>President</v>
      </c>
      <c r="P14" t="str">
        <f>"VerbaCom Executive Development"</f>
        <v>VerbaCom Executive Development</v>
      </c>
      <c r="Q14" t="str">
        <f>"1-9723868372"</f>
        <v>1-9723868372</v>
      </c>
      <c r="R14" t="str">
        <f>"7920 Belt Line Road,  Suite 727"</f>
        <v>7920 Belt Line Road,  Suite 727</v>
      </c>
      <c r="S14" t="str">
        <f>"Dallas"</f>
        <v>Dallas</v>
      </c>
      <c r="T14" t="str">
        <f>"Texas"</f>
        <v>Texas</v>
      </c>
      <c r="U14" t="str">
        <f>"75254"</f>
        <v>75254</v>
      </c>
      <c r="V14" t="s">
        <v>37</v>
      </c>
      <c r="W14" t="str">
        <f>"Guest"</f>
        <v>Guest</v>
      </c>
      <c r="X14" t="str">
        <f>"No"</f>
        <v>No</v>
      </c>
      <c r="Y14" t="str">
        <f>"Yes"</f>
        <v>Yes</v>
      </c>
      <c r="Z14" t="str">
        <f>"Yes"</f>
        <v>Yes</v>
      </c>
      <c r="AA14" t="str">
        <f>"20(+"</f>
        <v>20(+</v>
      </c>
    </row>
    <row r="15" spans="1:27" x14ac:dyDescent="0.3">
      <c r="A15">
        <v>14</v>
      </c>
      <c r="B15" t="str">
        <f t="shared" si="0"/>
        <v>174015848573313230</v>
      </c>
      <c r="C15" t="s">
        <v>27</v>
      </c>
      <c r="D15" t="s">
        <v>28</v>
      </c>
      <c r="E15" t="s">
        <v>29</v>
      </c>
      <c r="F15" t="s">
        <v>30</v>
      </c>
      <c r="G15" t="s">
        <v>86</v>
      </c>
      <c r="H15" t="s">
        <v>87</v>
      </c>
      <c r="I15" t="s">
        <v>88</v>
      </c>
      <c r="J15" t="s">
        <v>35</v>
      </c>
      <c r="K15" t="s">
        <v>34</v>
      </c>
      <c r="L15" t="s">
        <v>89</v>
      </c>
      <c r="M15">
        <v>201147</v>
      </c>
      <c r="N15" t="s">
        <v>35</v>
      </c>
      <c r="O15" t="str">
        <f>"President"</f>
        <v>President</v>
      </c>
      <c r="P15" t="str">
        <f>"Mahuya Industries"</f>
        <v>Mahuya Industries</v>
      </c>
      <c r="Q15" t="str">
        <f>"1-8179174450"</f>
        <v>1-8179174450</v>
      </c>
      <c r="R15" t="str">
        <f>"8804 Chaps Ave."</f>
        <v>8804 Chaps Ave.</v>
      </c>
      <c r="S15" t="str">
        <f>"Fort Worth"</f>
        <v>Fort Worth</v>
      </c>
      <c r="T15" t="str">
        <f>"TX"</f>
        <v>TX</v>
      </c>
      <c r="U15" t="str">
        <f>"76244"</f>
        <v>76244</v>
      </c>
      <c r="V15" t="s">
        <v>37</v>
      </c>
      <c r="W15" t="str">
        <f>"Guest"</f>
        <v>Guest</v>
      </c>
      <c r="X15" t="str">
        <f>"Yes"</f>
        <v>Yes</v>
      </c>
      <c r="Y15" t="str">
        <f t="shared" ref="Y15:Z19" si="2">"No"</f>
        <v>No</v>
      </c>
      <c r="Z15" t="str">
        <f t="shared" si="2"/>
        <v>No</v>
      </c>
      <c r="AA15" t="str">
        <f>"3"</f>
        <v>3</v>
      </c>
    </row>
    <row r="16" spans="1:27" x14ac:dyDescent="0.3">
      <c r="A16">
        <v>15</v>
      </c>
      <c r="B16" t="str">
        <f t="shared" si="0"/>
        <v>174015848573313230</v>
      </c>
      <c r="C16" t="s">
        <v>27</v>
      </c>
      <c r="D16" t="s">
        <v>28</v>
      </c>
      <c r="E16" t="s">
        <v>29</v>
      </c>
      <c r="F16" t="s">
        <v>30</v>
      </c>
      <c r="G16" t="s">
        <v>90</v>
      </c>
      <c r="H16" t="s">
        <v>91</v>
      </c>
      <c r="I16" t="s">
        <v>92</v>
      </c>
      <c r="J16" t="s">
        <v>35</v>
      </c>
      <c r="K16" t="s">
        <v>35</v>
      </c>
      <c r="L16" t="s">
        <v>93</v>
      </c>
      <c r="M16">
        <v>556776</v>
      </c>
      <c r="N16" t="s">
        <v>35</v>
      </c>
      <c r="O16" t="str">
        <f>"Office Manager"</f>
        <v>Office Manager</v>
      </c>
      <c r="P16" t="str">
        <f>"Dave Rambaran Geosciences, LLC"</f>
        <v>Dave Rambaran Geosciences, LLC</v>
      </c>
      <c r="Q16" t="str">
        <f>"1-3186711760"</f>
        <v>1-3186711760</v>
      </c>
      <c r="R16" t="str">
        <f>"8939 Jewella Avenue  Suite 116"</f>
        <v>8939 Jewella Avenue  Suite 116</v>
      </c>
      <c r="S16" t="str">
        <f>"Shreveport"</f>
        <v>Shreveport</v>
      </c>
      <c r="T16" t="str">
        <f>"Louisiana"</f>
        <v>Louisiana</v>
      </c>
      <c r="U16" t="str">
        <f>"71118"</f>
        <v>71118</v>
      </c>
      <c r="V16" t="s">
        <v>37</v>
      </c>
      <c r="W16" t="str">
        <f>"AGC Member|RHCA Member|Guest"</f>
        <v>AGC Member|RHCA Member|Guest</v>
      </c>
      <c r="X16" t="str">
        <f>"Yes"</f>
        <v>Yes</v>
      </c>
      <c r="Y16" t="str">
        <f t="shared" si="2"/>
        <v>No</v>
      </c>
      <c r="Z16" t="str">
        <f t="shared" si="2"/>
        <v>No</v>
      </c>
      <c r="AA16" t="str">
        <f>"11"</f>
        <v>11</v>
      </c>
    </row>
    <row r="17" spans="1:27" x14ac:dyDescent="0.3">
      <c r="A17">
        <v>16</v>
      </c>
      <c r="B17" t="str">
        <f t="shared" si="0"/>
        <v>174015848573313230</v>
      </c>
      <c r="C17" t="s">
        <v>27</v>
      </c>
      <c r="D17" t="s">
        <v>28</v>
      </c>
      <c r="E17" t="s">
        <v>29</v>
      </c>
      <c r="F17" t="s">
        <v>30</v>
      </c>
      <c r="G17" t="s">
        <v>94</v>
      </c>
      <c r="H17" t="s">
        <v>95</v>
      </c>
      <c r="I17" t="s">
        <v>96</v>
      </c>
      <c r="J17" t="s">
        <v>35</v>
      </c>
      <c r="K17" t="s">
        <v>34</v>
      </c>
      <c r="L17" t="s">
        <v>97</v>
      </c>
      <c r="M17">
        <v>596540</v>
      </c>
      <c r="N17" t="s">
        <v>35</v>
      </c>
      <c r="O17" t="str">
        <f>"Certified Public Accountant"</f>
        <v>Certified Public Accountant</v>
      </c>
      <c r="P17" t="str">
        <f>"Birt Finney CPA"</f>
        <v>Birt Finney CPA</v>
      </c>
      <c r="Q17" t="str">
        <f>"1-2148028223"</f>
        <v>1-2148028223</v>
      </c>
      <c r="R17" t="str">
        <f>"2216 Partridge Drive"</f>
        <v>2216 Partridge Drive</v>
      </c>
      <c r="S17" t="str">
        <f>"Mesquite"</f>
        <v>Mesquite</v>
      </c>
      <c r="T17" t="str">
        <f>"TX"</f>
        <v>TX</v>
      </c>
      <c r="U17" t="str">
        <f>"75181"</f>
        <v>75181</v>
      </c>
      <c r="V17" t="s">
        <v>37</v>
      </c>
      <c r="W17" t="str">
        <f>"Guest"</f>
        <v>Guest</v>
      </c>
      <c r="X17" t="str">
        <f>"No"</f>
        <v>No</v>
      </c>
      <c r="Y17" t="str">
        <f t="shared" si="2"/>
        <v>No</v>
      </c>
      <c r="Z17" t="str">
        <f t="shared" si="2"/>
        <v>No</v>
      </c>
      <c r="AA17" t="str">
        <f>"3"</f>
        <v>3</v>
      </c>
    </row>
    <row r="18" spans="1:27" x14ac:dyDescent="0.3">
      <c r="A18">
        <v>17</v>
      </c>
      <c r="B18" t="str">
        <f t="shared" si="0"/>
        <v>174015848573313230</v>
      </c>
      <c r="C18" t="s">
        <v>27</v>
      </c>
      <c r="D18" t="s">
        <v>28</v>
      </c>
      <c r="E18" t="s">
        <v>29</v>
      </c>
      <c r="F18" t="s">
        <v>30</v>
      </c>
      <c r="G18" t="s">
        <v>98</v>
      </c>
      <c r="H18" t="s">
        <v>99</v>
      </c>
      <c r="I18" t="s">
        <v>100</v>
      </c>
      <c r="J18" t="s">
        <v>35</v>
      </c>
      <c r="K18" t="s">
        <v>35</v>
      </c>
      <c r="L18" t="s">
        <v>101</v>
      </c>
      <c r="M18">
        <v>629400</v>
      </c>
      <c r="N18" t="s">
        <v>35</v>
      </c>
      <c r="O18" t="str">
        <f>"Owner/Manager"</f>
        <v>Owner/Manager</v>
      </c>
      <c r="P18" t="str">
        <f>"Shire Express Transportation"</f>
        <v>Shire Express Transportation</v>
      </c>
      <c r="Q18" t="str">
        <f>"1-8175461580"</f>
        <v>1-8175461580</v>
      </c>
      <c r="R18" t="str">
        <f>"1617 Park Place Ave ste 110-SET"</f>
        <v>1617 Park Place Ave ste 110-SET</v>
      </c>
      <c r="S18" t="str">
        <f>"Fort Worth"</f>
        <v>Fort Worth</v>
      </c>
      <c r="T18" t="str">
        <f>"TX"</f>
        <v>TX</v>
      </c>
      <c r="U18" t="str">
        <f>"76110"</f>
        <v>76110</v>
      </c>
      <c r="V18" t="s">
        <v>37</v>
      </c>
      <c r="W18" t="str">
        <f>"Guest"</f>
        <v>Guest</v>
      </c>
      <c r="X18" t="str">
        <f>"Yes"</f>
        <v>Yes</v>
      </c>
      <c r="Y18" t="str">
        <f t="shared" si="2"/>
        <v>No</v>
      </c>
      <c r="Z18" t="str">
        <f t="shared" si="2"/>
        <v>No</v>
      </c>
      <c r="AA18" t="str">
        <f>"5"</f>
        <v>5</v>
      </c>
    </row>
    <row r="19" spans="1:27" x14ac:dyDescent="0.3">
      <c r="A19">
        <v>18</v>
      </c>
      <c r="B19" t="str">
        <f t="shared" si="0"/>
        <v>174015848573313230</v>
      </c>
      <c r="C19" t="s">
        <v>27</v>
      </c>
      <c r="D19" t="s">
        <v>28</v>
      </c>
      <c r="E19" t="s">
        <v>29</v>
      </c>
      <c r="F19" t="s">
        <v>30</v>
      </c>
      <c r="G19" t="s">
        <v>102</v>
      </c>
      <c r="H19" t="s">
        <v>103</v>
      </c>
      <c r="I19" t="s">
        <v>104</v>
      </c>
      <c r="J19" t="s">
        <v>35</v>
      </c>
      <c r="K19" t="s">
        <v>34</v>
      </c>
      <c r="L19" t="s">
        <v>105</v>
      </c>
      <c r="M19">
        <v>342711</v>
      </c>
      <c r="N19" t="s">
        <v>35</v>
      </c>
      <c r="O19" t="str">
        <f>"Office Administrator"</f>
        <v>Office Administrator</v>
      </c>
      <c r="P19" t="str">
        <f>"RHCA"</f>
        <v>RHCA</v>
      </c>
      <c r="Q19" t="str">
        <f>"1-972-786-0909"</f>
        <v>1-972-786-0909</v>
      </c>
      <c r="R19" t="str">
        <f>"3918 N Hampton Rd"</f>
        <v>3918 N Hampton Rd</v>
      </c>
      <c r="S19" t="str">
        <f>"Dallas"</f>
        <v>Dallas</v>
      </c>
      <c r="T19" t="str">
        <f>"Texas"</f>
        <v>Texas</v>
      </c>
      <c r="U19" t="str">
        <f>"75211"</f>
        <v>75211</v>
      </c>
      <c r="V19" t="s">
        <v>37</v>
      </c>
      <c r="W19" t="str">
        <f>"RHCA Member"</f>
        <v>RHCA Member</v>
      </c>
      <c r="X19" t="str">
        <f>"No"</f>
        <v>No</v>
      </c>
      <c r="Y19" t="str">
        <f t="shared" si="2"/>
        <v>No</v>
      </c>
      <c r="Z19" t="str">
        <f t="shared" si="2"/>
        <v>No</v>
      </c>
      <c r="AA19" t="str">
        <f>"25"</f>
        <v>25</v>
      </c>
    </row>
    <row r="20" spans="1:27" x14ac:dyDescent="0.3">
      <c r="A20">
        <v>19</v>
      </c>
      <c r="B20" t="str">
        <f t="shared" si="0"/>
        <v>174015848573313230</v>
      </c>
      <c r="C20" t="s">
        <v>27</v>
      </c>
      <c r="D20" t="s">
        <v>28</v>
      </c>
      <c r="E20" t="s">
        <v>29</v>
      </c>
      <c r="F20" t="s">
        <v>30</v>
      </c>
      <c r="G20" t="s">
        <v>106</v>
      </c>
      <c r="H20" t="s">
        <v>107</v>
      </c>
      <c r="I20" t="s">
        <v>108</v>
      </c>
      <c r="J20" t="s">
        <v>35</v>
      </c>
      <c r="K20" t="s">
        <v>35</v>
      </c>
      <c r="L20" t="s">
        <v>109</v>
      </c>
      <c r="M20">
        <v>834305</v>
      </c>
      <c r="N20" t="s">
        <v>35</v>
      </c>
      <c r="O20" t="str">
        <f>"Business Development Manger"</f>
        <v>Business Development Manger</v>
      </c>
      <c r="P20" t="str">
        <f>"Logistics Management USA Corporation"</f>
        <v>Logistics Management USA Corporation</v>
      </c>
      <c r="Q20" t="str">
        <f>"1-9177031411"</f>
        <v>1-9177031411</v>
      </c>
      <c r="R20" t="str">
        <f>"445 East  FM 1382 STE 3, Cedar Hill"</f>
        <v>445 East  FM 1382 STE 3, Cedar Hill</v>
      </c>
      <c r="S20" t="str">
        <f>"Texas"</f>
        <v>Texas</v>
      </c>
      <c r="T20" t="str">
        <f>"NY New York"</f>
        <v>NY New York</v>
      </c>
      <c r="U20" t="str">
        <f>"75104"</f>
        <v>75104</v>
      </c>
      <c r="V20" t="s">
        <v>37</v>
      </c>
      <c r="W20" t="str">
        <f>"AACATX Member|AGC Member|RHCA Member|Guest"</f>
        <v>AACATX Member|AGC Member|RHCA Member|Guest</v>
      </c>
      <c r="X20" t="str">
        <f>"Yes|No"</f>
        <v>Yes|No</v>
      </c>
      <c r="Y20" t="str">
        <f>"Yes|No"</f>
        <v>Yes|No</v>
      </c>
      <c r="Z20" t="str">
        <f>"Yes|No"</f>
        <v>Yes|No</v>
      </c>
      <c r="AA20" t="str">
        <f>"2"</f>
        <v>2</v>
      </c>
    </row>
    <row r="21" spans="1:27" x14ac:dyDescent="0.3">
      <c r="A21">
        <v>20</v>
      </c>
      <c r="B21" t="str">
        <f t="shared" si="0"/>
        <v>174015848573313230</v>
      </c>
      <c r="C21" t="s">
        <v>27</v>
      </c>
      <c r="D21" t="s">
        <v>28</v>
      </c>
      <c r="E21" t="s">
        <v>29</v>
      </c>
      <c r="F21" t="s">
        <v>30</v>
      </c>
      <c r="G21" t="s">
        <v>110</v>
      </c>
      <c r="H21" t="s">
        <v>111</v>
      </c>
      <c r="I21" t="s">
        <v>112</v>
      </c>
      <c r="J21" t="s">
        <v>35</v>
      </c>
      <c r="K21" t="s">
        <v>35</v>
      </c>
      <c r="L21" t="s">
        <v>113</v>
      </c>
      <c r="M21">
        <v>356418</v>
      </c>
      <c r="N21" t="s">
        <v>35</v>
      </c>
      <c r="O21" t="str">
        <f>"Safety Consultant"</f>
        <v>Safety Consultant</v>
      </c>
      <c r="P21" t="str">
        <f>"WMi, LLC."</f>
        <v>WMi, LLC.</v>
      </c>
      <c r="Q21" t="str">
        <f>"1-6822200339"</f>
        <v>1-6822200339</v>
      </c>
      <c r="R21" t="str">
        <f>"525 OXBOW CT"</f>
        <v>525 OXBOW CT</v>
      </c>
      <c r="S21" t="str">
        <f>"BURLESON"</f>
        <v>BURLESON</v>
      </c>
      <c r="T21" t="str">
        <f>"TEXAS"</f>
        <v>TEXAS</v>
      </c>
      <c r="U21" t="str">
        <f>"76028"</f>
        <v>76028</v>
      </c>
      <c r="V21" t="s">
        <v>37</v>
      </c>
      <c r="W21" t="str">
        <f>"Guest"</f>
        <v>Guest</v>
      </c>
      <c r="X21" t="str">
        <f>"No"</f>
        <v>No</v>
      </c>
      <c r="Y21" t="str">
        <f>"No"</f>
        <v>No</v>
      </c>
      <c r="Z21" t="str">
        <f>"No"</f>
        <v>No</v>
      </c>
      <c r="AA21" t="str">
        <f>"20 yrs"</f>
        <v>20 yrs</v>
      </c>
    </row>
    <row r="22" spans="1:27" x14ac:dyDescent="0.3">
      <c r="A22">
        <v>21</v>
      </c>
      <c r="B22" t="str">
        <f t="shared" si="0"/>
        <v>174015848573313230</v>
      </c>
      <c r="C22" t="s">
        <v>27</v>
      </c>
      <c r="D22" t="s">
        <v>28</v>
      </c>
      <c r="E22" t="s">
        <v>29</v>
      </c>
      <c r="F22" t="s">
        <v>30</v>
      </c>
      <c r="G22" t="s">
        <v>114</v>
      </c>
      <c r="H22" t="s">
        <v>115</v>
      </c>
      <c r="I22" t="s">
        <v>116</v>
      </c>
      <c r="J22" t="s">
        <v>35</v>
      </c>
      <c r="K22" t="s">
        <v>34</v>
      </c>
      <c r="L22" t="s">
        <v>117</v>
      </c>
      <c r="M22">
        <v>261252</v>
      </c>
      <c r="N22" t="s">
        <v>35</v>
      </c>
      <c r="O22" t="str">
        <f>"Owner"</f>
        <v>Owner</v>
      </c>
      <c r="P22" t="str">
        <f>"Signarama-Richardson"</f>
        <v>Signarama-Richardson</v>
      </c>
      <c r="Q22" t="str">
        <f>"1-4692060825"</f>
        <v>1-4692060825</v>
      </c>
      <c r="R22" t="str">
        <f>"1850 N. Greenville Ave. Ste.174"</f>
        <v>1850 N. Greenville Ave. Ste.174</v>
      </c>
      <c r="S22" t="str">
        <f>"Richardson"</f>
        <v>Richardson</v>
      </c>
      <c r="T22" t="str">
        <f>"Texas"</f>
        <v>Texas</v>
      </c>
      <c r="U22" t="str">
        <f>"75081"</f>
        <v>75081</v>
      </c>
      <c r="V22" t="s">
        <v>37</v>
      </c>
      <c r="W22" t="str">
        <f>"Guest"</f>
        <v>Guest</v>
      </c>
      <c r="X22" t="str">
        <f>"Yes"</f>
        <v>Yes</v>
      </c>
      <c r="Y22" t="str">
        <f>"No"</f>
        <v>No</v>
      </c>
      <c r="Z22" t="str">
        <f>"No"</f>
        <v>No</v>
      </c>
      <c r="AA22" t="str">
        <f>"2.10"</f>
        <v>2.10</v>
      </c>
    </row>
    <row r="23" spans="1:27" x14ac:dyDescent="0.3">
      <c r="A23">
        <v>22</v>
      </c>
      <c r="B23" t="str">
        <f t="shared" si="0"/>
        <v>174015848573313230</v>
      </c>
      <c r="C23" t="s">
        <v>27</v>
      </c>
      <c r="D23" t="s">
        <v>28</v>
      </c>
      <c r="E23" t="s">
        <v>29</v>
      </c>
      <c r="F23" t="s">
        <v>30</v>
      </c>
      <c r="G23" t="s">
        <v>118</v>
      </c>
      <c r="H23" t="s">
        <v>119</v>
      </c>
      <c r="I23" t="s">
        <v>120</v>
      </c>
      <c r="J23" t="s">
        <v>35</v>
      </c>
      <c r="K23" t="s">
        <v>35</v>
      </c>
      <c r="L23" t="s">
        <v>121</v>
      </c>
      <c r="M23">
        <v>917635</v>
      </c>
      <c r="N23" t="s">
        <v>34</v>
      </c>
      <c r="O23" t="str">
        <f>"Media Manager"</f>
        <v>Media Manager</v>
      </c>
      <c r="P23" t="str">
        <f>"NTTA"</f>
        <v>NTTA</v>
      </c>
      <c r="Q23" t="str">
        <f>"1-2142242237"</f>
        <v>1-2142242237</v>
      </c>
      <c r="R23" t="str">
        <f>"5900 W. Plano Pkwy"</f>
        <v>5900 W. Plano Pkwy</v>
      </c>
      <c r="S23" t="str">
        <f>"Plano"</f>
        <v>Plano</v>
      </c>
      <c r="T23" t="str">
        <f>"TX"</f>
        <v>TX</v>
      </c>
      <c r="U23" t="str">
        <f>"75093"</f>
        <v>75093</v>
      </c>
      <c r="V23" t="s">
        <v>37</v>
      </c>
      <c r="W23" t="str">
        <f>"Guest"</f>
        <v>Guest</v>
      </c>
      <c r="X23" t="str">
        <f>"No"</f>
        <v>No</v>
      </c>
      <c r="Y23" t="str">
        <f>"No"</f>
        <v>No</v>
      </c>
      <c r="Z23" t="str">
        <f>"Yes"</f>
        <v>Yes</v>
      </c>
      <c r="AA23" t="str">
        <f>"0"</f>
        <v>0</v>
      </c>
    </row>
    <row r="24" spans="1:27" x14ac:dyDescent="0.3">
      <c r="A24">
        <v>23</v>
      </c>
      <c r="B24" t="str">
        <f t="shared" si="0"/>
        <v>174015848573313230</v>
      </c>
      <c r="C24" t="s">
        <v>27</v>
      </c>
      <c r="D24" t="s">
        <v>28</v>
      </c>
      <c r="E24" t="s">
        <v>29</v>
      </c>
      <c r="F24" t="s">
        <v>30</v>
      </c>
      <c r="G24" t="s">
        <v>118</v>
      </c>
      <c r="H24" t="s">
        <v>122</v>
      </c>
      <c r="I24" t="s">
        <v>123</v>
      </c>
      <c r="J24" t="s">
        <v>35</v>
      </c>
      <c r="K24" t="s">
        <v>35</v>
      </c>
      <c r="L24" t="s">
        <v>124</v>
      </c>
      <c r="M24">
        <v>713485</v>
      </c>
      <c r="N24" t="s">
        <v>34</v>
      </c>
      <c r="O24" t="str">
        <f>"Sr. Procurement Specialist"</f>
        <v>Sr. Procurement Specialist</v>
      </c>
      <c r="P24" t="str">
        <f>"North Texas Tollway Authority"</f>
        <v>North Texas Tollway Authority</v>
      </c>
      <c r="Q24" t="str">
        <f>"1-2142242143"</f>
        <v>1-2142242143</v>
      </c>
      <c r="R24" t="str">
        <f>"5900 W. Plano Parkway"</f>
        <v>5900 W. Plano Parkway</v>
      </c>
      <c r="S24" t="str">
        <f>"Plano"</f>
        <v>Plano</v>
      </c>
      <c r="T24" t="str">
        <f>"Texas"</f>
        <v>Texas</v>
      </c>
      <c r="U24" t="str">
        <f>"75093"</f>
        <v>75093</v>
      </c>
      <c r="V24" t="s">
        <v>37</v>
      </c>
      <c r="W24" t="str">
        <f>"Guest"</f>
        <v>Guest</v>
      </c>
      <c r="X24" t="str">
        <f>"No"</f>
        <v>No</v>
      </c>
      <c r="Y24" t="str">
        <f>"No"</f>
        <v>No</v>
      </c>
      <c r="Z24" t="str">
        <f>"No"</f>
        <v>No</v>
      </c>
      <c r="AA24" t="str">
        <f>"N/A"</f>
        <v>N/A</v>
      </c>
    </row>
    <row r="25" spans="1:27" x14ac:dyDescent="0.3">
      <c r="A25">
        <v>24</v>
      </c>
      <c r="B25" t="str">
        <f t="shared" si="0"/>
        <v>174015848573313230</v>
      </c>
      <c r="C25" t="s">
        <v>27</v>
      </c>
      <c r="D25" t="s">
        <v>28</v>
      </c>
      <c r="E25" t="s">
        <v>29</v>
      </c>
      <c r="F25" t="s">
        <v>30</v>
      </c>
      <c r="G25" t="s">
        <v>125</v>
      </c>
      <c r="H25" t="s">
        <v>126</v>
      </c>
      <c r="I25" t="s">
        <v>127</v>
      </c>
      <c r="J25" t="s">
        <v>35</v>
      </c>
      <c r="K25" t="s">
        <v>35</v>
      </c>
      <c r="L25" t="s">
        <v>128</v>
      </c>
      <c r="M25">
        <v>888401</v>
      </c>
      <c r="N25" t="s">
        <v>35</v>
      </c>
      <c r="O25" t="str">
        <f>"Sr. Project Manager"</f>
        <v>Sr. Project Manager</v>
      </c>
      <c r="P25" t="str">
        <f>"Jagoe-Public Company"</f>
        <v>Jagoe-Public Company</v>
      </c>
      <c r="Q25" t="str">
        <f>"1-972-841-4988"</f>
        <v>1-972-841-4988</v>
      </c>
      <c r="R25" t="str">
        <f>"3020 Ft. Worth Dr."</f>
        <v>3020 Ft. Worth Dr.</v>
      </c>
      <c r="S25" t="str">
        <f>"Denton"</f>
        <v>Denton</v>
      </c>
      <c r="T25" t="str">
        <f>"Texas"</f>
        <v>Texas</v>
      </c>
      <c r="U25" t="str">
        <f>"76202"</f>
        <v>76202</v>
      </c>
      <c r="V25" t="s">
        <v>37</v>
      </c>
      <c r="W25" t="str">
        <f>"AGC Member"</f>
        <v>AGC Member</v>
      </c>
      <c r="X25" t="str">
        <f>"No"</f>
        <v>No</v>
      </c>
      <c r="Y25" t="str">
        <f>"Yes"</f>
        <v>Yes</v>
      </c>
      <c r="Z25" t="str">
        <f>"Yes"</f>
        <v>Yes</v>
      </c>
      <c r="AA25" t="str">
        <f>"97"</f>
        <v>97</v>
      </c>
    </row>
    <row r="26" spans="1:27" x14ac:dyDescent="0.3">
      <c r="A26">
        <v>25</v>
      </c>
      <c r="B26" t="str">
        <f t="shared" si="0"/>
        <v>174015848573313230</v>
      </c>
      <c r="C26" t="s">
        <v>27</v>
      </c>
      <c r="D26" t="s">
        <v>28</v>
      </c>
      <c r="E26" t="s">
        <v>29</v>
      </c>
      <c r="F26" t="s">
        <v>30</v>
      </c>
      <c r="G26" t="s">
        <v>129</v>
      </c>
      <c r="H26" t="s">
        <v>130</v>
      </c>
      <c r="I26" t="s">
        <v>131</v>
      </c>
      <c r="J26" t="s">
        <v>35</v>
      </c>
      <c r="K26" t="s">
        <v>35</v>
      </c>
      <c r="L26" t="s">
        <v>132</v>
      </c>
      <c r="M26">
        <v>339236</v>
      </c>
      <c r="N26" t="s">
        <v>35</v>
      </c>
      <c r="O26" t="str">
        <f>"CFO"</f>
        <v>CFO</v>
      </c>
      <c r="P26" t="str">
        <f>"Merritt Insurance Services"</f>
        <v>Merritt Insurance Services</v>
      </c>
      <c r="Q26" t="str">
        <f>"1-2142437393"</f>
        <v>1-2142437393</v>
      </c>
      <c r="R26" t="str">
        <f>"PO Box 528"</f>
        <v>PO Box 528</v>
      </c>
      <c r="S26" t="str">
        <f>"Kemp"</f>
        <v>Kemp</v>
      </c>
      <c r="T26" t="str">
        <f>"Texas"</f>
        <v>Texas</v>
      </c>
      <c r="U26" t="str">
        <f>"75143"</f>
        <v>75143</v>
      </c>
      <c r="V26" t="s">
        <v>37</v>
      </c>
      <c r="W26" t="str">
        <f>"AACATX Member|AGC Member|RHCA Member|Guest"</f>
        <v>AACATX Member|AGC Member|RHCA Member|Guest</v>
      </c>
      <c r="X26" t="str">
        <f>"No"</f>
        <v>No</v>
      </c>
      <c r="Y26" t="str">
        <f>"No"</f>
        <v>No</v>
      </c>
      <c r="Z26" t="str">
        <f>"No"</f>
        <v>No</v>
      </c>
      <c r="AA26" t="str">
        <f>"8"</f>
        <v>8</v>
      </c>
    </row>
    <row r="27" spans="1:27" x14ac:dyDescent="0.3">
      <c r="A27">
        <v>26</v>
      </c>
      <c r="B27" t="str">
        <f t="shared" si="0"/>
        <v>174015848573313230</v>
      </c>
      <c r="C27" t="s">
        <v>27</v>
      </c>
      <c r="D27" t="s">
        <v>28</v>
      </c>
      <c r="E27" t="s">
        <v>29</v>
      </c>
      <c r="F27" t="s">
        <v>30</v>
      </c>
      <c r="G27" t="s">
        <v>133</v>
      </c>
      <c r="H27" t="s">
        <v>134</v>
      </c>
      <c r="I27" t="s">
        <v>135</v>
      </c>
      <c r="J27" t="s">
        <v>35</v>
      </c>
      <c r="K27" t="s">
        <v>34</v>
      </c>
      <c r="L27" t="s">
        <v>136</v>
      </c>
      <c r="M27">
        <v>508273</v>
      </c>
      <c r="N27" t="s">
        <v>35</v>
      </c>
      <c r="O27" t="str">
        <f>"VP"</f>
        <v>VP</v>
      </c>
      <c r="P27" t="str">
        <f>"Titanium Commercial LLC"</f>
        <v>Titanium Commercial LLC</v>
      </c>
      <c r="Q27" t="str">
        <f>"1-4693714428"</f>
        <v>1-4693714428</v>
      </c>
      <c r="R27" t="str">
        <f>"6003 Warm Mist Lane"</f>
        <v>6003 Warm Mist Lane</v>
      </c>
      <c r="S27" t="str">
        <f>"Dallas"</f>
        <v>Dallas</v>
      </c>
      <c r="T27" t="str">
        <f>"TX"</f>
        <v>TX</v>
      </c>
      <c r="U27" t="str">
        <f>"75248"</f>
        <v>75248</v>
      </c>
      <c r="V27" t="s">
        <v>37</v>
      </c>
      <c r="W27" t="str">
        <f>"AACATX Member|AGC Member|RHCA Member|Guest"</f>
        <v>AACATX Member|AGC Member|RHCA Member|Guest</v>
      </c>
      <c r="X27" t="str">
        <f>"In the process"</f>
        <v>In the process</v>
      </c>
      <c r="Y27" t="str">
        <f>"No"</f>
        <v>No</v>
      </c>
      <c r="Z27" t="str">
        <f>"Yes"</f>
        <v>Yes</v>
      </c>
      <c r="AA27" t="str">
        <f>"2"</f>
        <v>2</v>
      </c>
    </row>
    <row r="28" spans="1:27" x14ac:dyDescent="0.3">
      <c r="A28">
        <v>27</v>
      </c>
      <c r="B28" t="str">
        <f t="shared" si="0"/>
        <v>174015848573313230</v>
      </c>
      <c r="C28" t="s">
        <v>27</v>
      </c>
      <c r="D28" t="s">
        <v>28</v>
      </c>
      <c r="E28" t="s">
        <v>29</v>
      </c>
      <c r="F28" t="s">
        <v>30</v>
      </c>
      <c r="G28" t="s">
        <v>137</v>
      </c>
      <c r="H28" t="s">
        <v>138</v>
      </c>
      <c r="I28" t="s">
        <v>139</v>
      </c>
      <c r="J28" t="s">
        <v>35</v>
      </c>
      <c r="K28" t="s">
        <v>35</v>
      </c>
      <c r="L28" t="s">
        <v>140</v>
      </c>
      <c r="M28">
        <v>239789</v>
      </c>
      <c r="N28" t="s">
        <v>35</v>
      </c>
      <c r="O28" t="str">
        <f>"Senior Project Manager"</f>
        <v>Senior Project Manager</v>
      </c>
      <c r="P28" t="str">
        <f>"Kimley-Horn and Associates, Inc."</f>
        <v>Kimley-Horn and Associates, Inc.</v>
      </c>
      <c r="Q28" t="str">
        <f>"1-9727701305"</f>
        <v>1-9727701305</v>
      </c>
      <c r="R28" t="str">
        <f>"13455 Noel Rd # 700, Suite 700"</f>
        <v>13455 Noel Rd # 700, Suite 700</v>
      </c>
      <c r="S28" t="str">
        <f>"Dallas"</f>
        <v>Dallas</v>
      </c>
      <c r="T28" t="str">
        <f>"TX"</f>
        <v>TX</v>
      </c>
      <c r="U28" t="str">
        <f>"75240"</f>
        <v>75240</v>
      </c>
      <c r="V28" t="s">
        <v>37</v>
      </c>
      <c r="W28" t="str">
        <f>"Guest"</f>
        <v>Guest</v>
      </c>
      <c r="X28" t="str">
        <f>"No"</f>
        <v>No</v>
      </c>
      <c r="Y28" t="str">
        <f>"Yes"</f>
        <v>Yes</v>
      </c>
      <c r="Z28" t="str">
        <f>"Yes"</f>
        <v>Yes</v>
      </c>
      <c r="AA28" t="str">
        <f>"50"</f>
        <v>50</v>
      </c>
    </row>
    <row r="29" spans="1:27" x14ac:dyDescent="0.3">
      <c r="A29">
        <v>28</v>
      </c>
      <c r="B29" t="str">
        <f t="shared" si="0"/>
        <v>174015848573313230</v>
      </c>
      <c r="C29" t="s">
        <v>27</v>
      </c>
      <c r="D29" t="s">
        <v>28</v>
      </c>
      <c r="E29" t="s">
        <v>29</v>
      </c>
      <c r="F29" t="s">
        <v>30</v>
      </c>
      <c r="G29" t="s">
        <v>141</v>
      </c>
      <c r="H29" t="s">
        <v>142</v>
      </c>
      <c r="I29" t="s">
        <v>143</v>
      </c>
      <c r="J29" t="s">
        <v>35</v>
      </c>
      <c r="K29" t="s">
        <v>35</v>
      </c>
      <c r="L29" t="s">
        <v>144</v>
      </c>
      <c r="M29">
        <v>692938</v>
      </c>
      <c r="N29" t="s">
        <v>35</v>
      </c>
      <c r="O29" t="str">
        <f>"Executive Associate"</f>
        <v>Executive Associate</v>
      </c>
      <c r="P29" t="str">
        <f>"Del Richardson &amp; Associates Inc."</f>
        <v>Del Richardson &amp; Associates Inc.</v>
      </c>
      <c r="Q29" t="str">
        <f>"1-3106453729"</f>
        <v>1-3106453729</v>
      </c>
      <c r="R29" t="str">
        <f>"510 S LA BREA AVE"</f>
        <v>510 S LA BREA AVE</v>
      </c>
      <c r="S29" t="str">
        <f>"Inglewood"</f>
        <v>Inglewood</v>
      </c>
      <c r="T29" t="str">
        <f>"CA"</f>
        <v>CA</v>
      </c>
      <c r="U29" t="str">
        <f>"90301"</f>
        <v>90301</v>
      </c>
      <c r="V29" t="s">
        <v>37</v>
      </c>
      <c r="W29" t="str">
        <f>"Guest"</f>
        <v>Guest</v>
      </c>
      <c r="X29" t="str">
        <f>"Yes"</f>
        <v>Yes</v>
      </c>
      <c r="Y29" t="str">
        <f>"Yes"</f>
        <v>Yes</v>
      </c>
      <c r="Z29" t="str">
        <f>"No"</f>
        <v>No</v>
      </c>
      <c r="AA29" t="str">
        <f>"35"</f>
        <v>35</v>
      </c>
    </row>
    <row r="30" spans="1:27" x14ac:dyDescent="0.3">
      <c r="A30">
        <v>29</v>
      </c>
      <c r="B30" t="str">
        <f t="shared" si="0"/>
        <v>174015848573313230</v>
      </c>
      <c r="C30" t="s">
        <v>27</v>
      </c>
      <c r="D30" t="s">
        <v>28</v>
      </c>
      <c r="E30" t="s">
        <v>29</v>
      </c>
      <c r="F30" t="s">
        <v>30</v>
      </c>
      <c r="G30" t="s">
        <v>145</v>
      </c>
      <c r="H30" t="s">
        <v>146</v>
      </c>
      <c r="I30" t="s">
        <v>147</v>
      </c>
      <c r="J30" t="s">
        <v>35</v>
      </c>
      <c r="K30" t="s">
        <v>34</v>
      </c>
      <c r="L30" t="s">
        <v>148</v>
      </c>
      <c r="M30">
        <v>190907</v>
      </c>
      <c r="N30" t="s">
        <v>35</v>
      </c>
      <c r="O30" t="str">
        <f>"Regional Engineer"</f>
        <v>Regional Engineer</v>
      </c>
      <c r="P30" t="str">
        <f>"Advanced Drainage Systems"</f>
        <v>Advanced Drainage Systems</v>
      </c>
      <c r="Q30" t="str">
        <f>"1-4079221846"</f>
        <v>1-4079221846</v>
      </c>
      <c r="R30" t="str">
        <f>"210 Metro Park Blvd"</f>
        <v>210 Metro Park Blvd</v>
      </c>
      <c r="S30" t="str">
        <f>"Ennis"</f>
        <v>Ennis</v>
      </c>
      <c r="T30" t="str">
        <f>"Texas"</f>
        <v>Texas</v>
      </c>
      <c r="U30" t="str">
        <f>"75119"</f>
        <v>75119</v>
      </c>
      <c r="V30" t="s">
        <v>37</v>
      </c>
      <c r="W30" t="str">
        <f>"AGC Member"</f>
        <v>AGC Member</v>
      </c>
      <c r="X30" t="str">
        <f>"No"</f>
        <v>No</v>
      </c>
      <c r="Y30" t="str">
        <f>"Yes"</f>
        <v>Yes</v>
      </c>
      <c r="Z30" t="str">
        <f>"No"</f>
        <v>No</v>
      </c>
      <c r="AA30" t="str">
        <f>"54"</f>
        <v>54</v>
      </c>
    </row>
    <row r="31" spans="1:27" x14ac:dyDescent="0.3">
      <c r="A31">
        <v>30</v>
      </c>
      <c r="B31" t="str">
        <f t="shared" si="0"/>
        <v>174015848573313230</v>
      </c>
      <c r="C31" t="s">
        <v>27</v>
      </c>
      <c r="D31" t="s">
        <v>28</v>
      </c>
      <c r="E31" t="s">
        <v>29</v>
      </c>
      <c r="F31" t="s">
        <v>30</v>
      </c>
      <c r="G31" t="s">
        <v>149</v>
      </c>
      <c r="H31" t="s">
        <v>150</v>
      </c>
      <c r="I31" t="s">
        <v>151</v>
      </c>
      <c r="J31" t="s">
        <v>35</v>
      </c>
      <c r="K31" t="s">
        <v>34</v>
      </c>
      <c r="L31" t="s">
        <v>152</v>
      </c>
      <c r="M31">
        <v>832152</v>
      </c>
      <c r="N31" t="s">
        <v>35</v>
      </c>
      <c r="O31" t="str">
        <f>"Business Development"</f>
        <v>Business Development</v>
      </c>
      <c r="P31" t="str">
        <f>"Rone Engineering"</f>
        <v>Rone Engineering</v>
      </c>
      <c r="Q31" t="str">
        <f>"1-469 556 6402"</f>
        <v>1-469 556 6402</v>
      </c>
      <c r="R31" t="str">
        <f>"8908 Ambassador Row"</f>
        <v>8908 Ambassador Row</v>
      </c>
      <c r="S31" t="str">
        <f>"Dallas"</f>
        <v>Dallas</v>
      </c>
      <c r="T31" t="str">
        <f>"TX"</f>
        <v>TX</v>
      </c>
      <c r="U31" t="str">
        <f>"75247"</f>
        <v>75247</v>
      </c>
      <c r="V31" t="s">
        <v>37</v>
      </c>
      <c r="W31" t="str">
        <f>"Guest"</f>
        <v>Guest</v>
      </c>
      <c r="X31" t="str">
        <f>"No"</f>
        <v>No</v>
      </c>
      <c r="Y31" t="str">
        <f>"Yes"</f>
        <v>Yes</v>
      </c>
      <c r="Z31" t="str">
        <f>"Yes"</f>
        <v>Yes</v>
      </c>
      <c r="AA31" t="str">
        <f>"40"</f>
        <v>40</v>
      </c>
    </row>
    <row r="32" spans="1:27" x14ac:dyDescent="0.3">
      <c r="A32">
        <v>31</v>
      </c>
      <c r="B32" t="str">
        <f t="shared" si="0"/>
        <v>174015848573313230</v>
      </c>
      <c r="C32" t="s">
        <v>27</v>
      </c>
      <c r="D32" t="s">
        <v>28</v>
      </c>
      <c r="E32" t="s">
        <v>29</v>
      </c>
      <c r="F32" t="s">
        <v>30</v>
      </c>
      <c r="G32" t="s">
        <v>153</v>
      </c>
      <c r="H32" t="s">
        <v>154</v>
      </c>
      <c r="I32" t="s">
        <v>155</v>
      </c>
      <c r="J32" t="s">
        <v>35</v>
      </c>
      <c r="K32" t="s">
        <v>35</v>
      </c>
      <c r="L32" t="s">
        <v>156</v>
      </c>
      <c r="M32">
        <v>415201</v>
      </c>
      <c r="N32" t="s">
        <v>35</v>
      </c>
      <c r="O32" t="str">
        <f>"President"</f>
        <v>President</v>
      </c>
      <c r="P32" t="str">
        <f>"Apfelbaum Industrial Inc"</f>
        <v>Apfelbaum Industrial Inc</v>
      </c>
      <c r="Q32" t="str">
        <f>"1-9158452009"</f>
        <v>1-9158452009</v>
      </c>
      <c r="R32" t="str">
        <f>"6006 N Mesa Suite 406"</f>
        <v>6006 N Mesa Suite 406</v>
      </c>
      <c r="S32" t="str">
        <f>"EL PASO TX"</f>
        <v>EL PASO TX</v>
      </c>
      <c r="T32" t="str">
        <f>"Texas"</f>
        <v>Texas</v>
      </c>
      <c r="U32" t="str">
        <f>"79912"</f>
        <v>79912</v>
      </c>
      <c r="V32" t="s">
        <v>37</v>
      </c>
      <c r="W32" t="str">
        <f>"AACATX Member|AGC Member|RHCA Member|Guest"</f>
        <v>AACATX Member|AGC Member|RHCA Member|Guest</v>
      </c>
      <c r="X32" t="str">
        <f>"Yes|No"</f>
        <v>Yes|No</v>
      </c>
      <c r="Y32" t="str">
        <f>"Yes|No"</f>
        <v>Yes|No</v>
      </c>
      <c r="Z32" t="str">
        <f>"Yes|No"</f>
        <v>Yes|No</v>
      </c>
      <c r="AA32" t="str">
        <f>"20 Years"</f>
        <v>20 Years</v>
      </c>
    </row>
    <row r="33" spans="1:27" x14ac:dyDescent="0.3">
      <c r="A33">
        <v>32</v>
      </c>
      <c r="B33" t="str">
        <f t="shared" si="0"/>
        <v>174015848573313230</v>
      </c>
      <c r="C33" t="s">
        <v>27</v>
      </c>
      <c r="D33" t="s">
        <v>28</v>
      </c>
      <c r="E33" t="s">
        <v>29</v>
      </c>
      <c r="F33" t="s">
        <v>30</v>
      </c>
      <c r="G33" t="s">
        <v>157</v>
      </c>
      <c r="H33" t="s">
        <v>158</v>
      </c>
      <c r="I33" t="s">
        <v>159</v>
      </c>
      <c r="J33" t="s">
        <v>35</v>
      </c>
      <c r="K33" t="s">
        <v>34</v>
      </c>
      <c r="L33" t="s">
        <v>160</v>
      </c>
      <c r="M33">
        <v>877613</v>
      </c>
      <c r="N33" t="s">
        <v>35</v>
      </c>
      <c r="O33" t="str">
        <f>"President"</f>
        <v>President</v>
      </c>
      <c r="P33" t="str">
        <f>"NASHCM, INC"</f>
        <v>NASHCM, INC</v>
      </c>
      <c r="Q33" t="str">
        <f>"1-817-941-4845"</f>
        <v>1-817-941-4845</v>
      </c>
      <c r="R33" t="str">
        <f>"3968 E. Park Blvd"</f>
        <v>3968 E. Park Blvd</v>
      </c>
      <c r="S33" t="str">
        <f>"Plano"</f>
        <v>Plano</v>
      </c>
      <c r="T33" t="str">
        <f>"Tx"</f>
        <v>Tx</v>
      </c>
      <c r="U33" t="str">
        <f>"75074"</f>
        <v>75074</v>
      </c>
      <c r="V33" t="s">
        <v>37</v>
      </c>
      <c r="W33" t="str">
        <f>"Guest"</f>
        <v>Guest</v>
      </c>
      <c r="X33" t="str">
        <f>"Yes"</f>
        <v>Yes</v>
      </c>
      <c r="Y33" t="str">
        <f>"Yes"</f>
        <v>Yes</v>
      </c>
      <c r="Z33" t="str">
        <f>"Yes"</f>
        <v>Yes</v>
      </c>
      <c r="AA33" t="str">
        <f>"8"</f>
        <v>8</v>
      </c>
    </row>
    <row r="34" spans="1:27" x14ac:dyDescent="0.3">
      <c r="A34">
        <v>33</v>
      </c>
      <c r="B34" t="str">
        <f t="shared" ref="B34:B65" si="3">"174015848573313230"</f>
        <v>174015848573313230</v>
      </c>
      <c r="C34" t="s">
        <v>27</v>
      </c>
      <c r="D34" t="s">
        <v>28</v>
      </c>
      <c r="E34" t="s">
        <v>29</v>
      </c>
      <c r="F34" t="s">
        <v>30</v>
      </c>
      <c r="G34" t="s">
        <v>161</v>
      </c>
      <c r="H34" t="s">
        <v>162</v>
      </c>
      <c r="I34" t="s">
        <v>163</v>
      </c>
      <c r="J34" t="s">
        <v>35</v>
      </c>
      <c r="K34" t="s">
        <v>34</v>
      </c>
      <c r="L34" t="s">
        <v>164</v>
      </c>
      <c r="M34">
        <v>921543</v>
      </c>
      <c r="N34" t="s">
        <v>35</v>
      </c>
      <c r="O34" t="str">
        <f>"Managing Member"</f>
        <v>Managing Member</v>
      </c>
      <c r="P34" t="str">
        <f>"Renaissance Capital LLC"</f>
        <v>Renaissance Capital LLC</v>
      </c>
      <c r="Q34" t="str">
        <f>"1-2625104784"</f>
        <v>1-2625104784</v>
      </c>
      <c r="R34" t="str">
        <f>"1300 Placid Circle 4305"</f>
        <v>1300 Placid Circle 4305</v>
      </c>
      <c r="S34" t="str">
        <f>"Waco"</f>
        <v>Waco</v>
      </c>
      <c r="T34" t="str">
        <f>"TX"</f>
        <v>TX</v>
      </c>
      <c r="U34" t="str">
        <f>"76706"</f>
        <v>76706</v>
      </c>
      <c r="V34" t="s">
        <v>37</v>
      </c>
      <c r="W34" t="str">
        <f>"Guest"</f>
        <v>Guest</v>
      </c>
      <c r="X34" t="str">
        <f>"No"</f>
        <v>No</v>
      </c>
      <c r="Y34" t="str">
        <f>"No"</f>
        <v>No</v>
      </c>
      <c r="Z34" t="str">
        <f>"No"</f>
        <v>No</v>
      </c>
      <c r="AA34" t="str">
        <f>"1.5"</f>
        <v>1.5</v>
      </c>
    </row>
    <row r="35" spans="1:27" x14ac:dyDescent="0.3">
      <c r="A35">
        <v>34</v>
      </c>
      <c r="B35" t="str">
        <f t="shared" si="3"/>
        <v>174015848573313230</v>
      </c>
      <c r="C35" t="s">
        <v>27</v>
      </c>
      <c r="D35" t="s">
        <v>28</v>
      </c>
      <c r="E35" t="s">
        <v>29</v>
      </c>
      <c r="F35" t="s">
        <v>30</v>
      </c>
      <c r="G35" t="s">
        <v>165</v>
      </c>
      <c r="H35" t="s">
        <v>87</v>
      </c>
      <c r="I35" t="s">
        <v>166</v>
      </c>
      <c r="J35" t="s">
        <v>35</v>
      </c>
      <c r="K35" t="s">
        <v>35</v>
      </c>
      <c r="L35" t="s">
        <v>167</v>
      </c>
      <c r="M35">
        <v>590206</v>
      </c>
      <c r="N35" t="s">
        <v>35</v>
      </c>
      <c r="O35" t="str">
        <f>"Chairman"</f>
        <v>Chairman</v>
      </c>
      <c r="P35" t="str">
        <f>"Tsidkenu Group LLC"</f>
        <v>Tsidkenu Group LLC</v>
      </c>
      <c r="Q35" t="str">
        <f>"1-8003577002"</f>
        <v>1-8003577002</v>
      </c>
      <c r="R35" t="str">
        <f>"325 N Saint Paul Street, Suite 3100"</f>
        <v>325 N Saint Paul Street, Suite 3100</v>
      </c>
      <c r="S35" t="str">
        <f>"Dallas"</f>
        <v>Dallas</v>
      </c>
      <c r="T35" t="str">
        <f>"TX"</f>
        <v>TX</v>
      </c>
      <c r="U35" t="str">
        <f>"75201"</f>
        <v>75201</v>
      </c>
      <c r="V35" t="s">
        <v>37</v>
      </c>
      <c r="W35" t="str">
        <f>"Guest"</f>
        <v>Guest</v>
      </c>
      <c r="X35" t="str">
        <f>"In the process"</f>
        <v>In the process</v>
      </c>
      <c r="Y35" t="str">
        <f>"No"</f>
        <v>No</v>
      </c>
      <c r="Z35" t="str">
        <f>"No"</f>
        <v>No</v>
      </c>
      <c r="AA35" t="str">
        <f>"2.5"</f>
        <v>2.5</v>
      </c>
    </row>
    <row r="36" spans="1:27" x14ac:dyDescent="0.3">
      <c r="A36">
        <v>35</v>
      </c>
      <c r="B36" t="str">
        <f t="shared" si="3"/>
        <v>174015848573313230</v>
      </c>
      <c r="C36" t="s">
        <v>27</v>
      </c>
      <c r="D36" t="s">
        <v>28</v>
      </c>
      <c r="E36" t="s">
        <v>29</v>
      </c>
      <c r="F36" t="s">
        <v>30</v>
      </c>
      <c r="G36" t="s">
        <v>168</v>
      </c>
      <c r="H36" t="s">
        <v>169</v>
      </c>
      <c r="I36" t="s">
        <v>170</v>
      </c>
      <c r="J36" t="s">
        <v>35</v>
      </c>
      <c r="K36" t="s">
        <v>34</v>
      </c>
      <c r="L36" t="s">
        <v>171</v>
      </c>
      <c r="M36">
        <v>468242</v>
      </c>
      <c r="N36" t="s">
        <v>34</v>
      </c>
      <c r="O36" t="str">
        <f>"President"</f>
        <v>President</v>
      </c>
      <c r="P36" t="str">
        <f>"Post L Group"</f>
        <v>Post L Group</v>
      </c>
      <c r="Q36" t="str">
        <f>"1-6823127888"</f>
        <v>1-6823127888</v>
      </c>
      <c r="R36" t="str">
        <f>"1125 E Berry St"</f>
        <v>1125 E Berry St</v>
      </c>
      <c r="S36" t="str">
        <f>"Fort Worth"</f>
        <v>Fort Worth</v>
      </c>
      <c r="T36" t="str">
        <f>"Tx"</f>
        <v>Tx</v>
      </c>
      <c r="U36" t="str">
        <f>"76110"</f>
        <v>76110</v>
      </c>
      <c r="V36" t="s">
        <v>37</v>
      </c>
      <c r="W36" t="str">
        <f>"Guest"</f>
        <v>Guest</v>
      </c>
      <c r="X36" t="str">
        <f>"Yes"</f>
        <v>Yes</v>
      </c>
      <c r="Y36" t="str">
        <f>"Yes"</f>
        <v>Yes</v>
      </c>
      <c r="Z36" t="str">
        <f>"No"</f>
        <v>No</v>
      </c>
      <c r="AA36" t="str">
        <f>"5"</f>
        <v>5</v>
      </c>
    </row>
    <row r="37" spans="1:27" x14ac:dyDescent="0.3">
      <c r="A37">
        <v>36</v>
      </c>
      <c r="B37" t="str">
        <f t="shared" si="3"/>
        <v>174015848573313230</v>
      </c>
      <c r="C37" t="s">
        <v>27</v>
      </c>
      <c r="D37" t="s">
        <v>28</v>
      </c>
      <c r="E37" t="s">
        <v>29</v>
      </c>
      <c r="F37" t="s">
        <v>30</v>
      </c>
      <c r="G37" t="s">
        <v>172</v>
      </c>
      <c r="H37" t="s">
        <v>173</v>
      </c>
      <c r="I37" t="s">
        <v>174</v>
      </c>
      <c r="J37" t="s">
        <v>35</v>
      </c>
      <c r="K37" t="s">
        <v>35</v>
      </c>
      <c r="L37" t="s">
        <v>175</v>
      </c>
      <c r="M37">
        <v>313565</v>
      </c>
      <c r="N37" t="s">
        <v>35</v>
      </c>
      <c r="O37" t="str">
        <f>"Granto"</f>
        <v>Granto</v>
      </c>
      <c r="P37" t="str">
        <f>"Granto"</f>
        <v>Granto</v>
      </c>
      <c r="Q37" t="str">
        <f>"1-545612512"</f>
        <v>1-545612512</v>
      </c>
      <c r="R37" t="str">
        <f>"Novo Mexico"</f>
        <v>Novo Mexico</v>
      </c>
      <c r="S37" t="str">
        <f>"Conselheiro Pena"</f>
        <v>Conselheiro Pena</v>
      </c>
      <c r="T37" t="str">
        <f>"MG"</f>
        <v>MG</v>
      </c>
      <c r="U37" t="str">
        <f>"31720-300"</f>
        <v>31720-300</v>
      </c>
      <c r="V37" t="s">
        <v>176</v>
      </c>
      <c r="W37" t="str">
        <f>"AACATX Member|AGC Member|RHCA Member|Guest"</f>
        <v>AACATX Member|AGC Member|RHCA Member|Guest</v>
      </c>
      <c r="X37" t="str">
        <f>"Yes|No"</f>
        <v>Yes|No</v>
      </c>
      <c r="Y37" t="str">
        <f>"Yes|No"</f>
        <v>Yes|No</v>
      </c>
      <c r="Z37" t="str">
        <f>"Yes|No"</f>
        <v>Yes|No</v>
      </c>
      <c r="AA37" t="str">
        <f>"Granto"</f>
        <v>Granto</v>
      </c>
    </row>
    <row r="38" spans="1:27" x14ac:dyDescent="0.3">
      <c r="A38">
        <v>37</v>
      </c>
      <c r="B38" t="str">
        <f t="shared" si="3"/>
        <v>174015848573313230</v>
      </c>
      <c r="C38" t="s">
        <v>27</v>
      </c>
      <c r="D38" t="s">
        <v>28</v>
      </c>
      <c r="E38" t="s">
        <v>29</v>
      </c>
      <c r="F38" t="s">
        <v>30</v>
      </c>
      <c r="G38" t="s">
        <v>177</v>
      </c>
      <c r="H38" t="s">
        <v>178</v>
      </c>
      <c r="I38" t="s">
        <v>179</v>
      </c>
      <c r="J38" t="s">
        <v>35</v>
      </c>
      <c r="K38" t="s">
        <v>35</v>
      </c>
      <c r="L38" t="s">
        <v>180</v>
      </c>
      <c r="M38">
        <v>128927</v>
      </c>
      <c r="N38" t="s">
        <v>35</v>
      </c>
      <c r="O38" t="str">
        <f>"PRESIDENT"</f>
        <v>PRESIDENT</v>
      </c>
      <c r="P38" t="str">
        <f>"Clemons Trucking Company LLC"</f>
        <v>Clemons Trucking Company LLC</v>
      </c>
      <c r="Q38" t="str">
        <f>"1-2147941645"</f>
        <v>1-2147941645</v>
      </c>
      <c r="R38" t="str">
        <f>"7934 SOUTH LANCASTER ROAD"</f>
        <v>7934 SOUTH LANCASTER ROAD</v>
      </c>
      <c r="S38" t="str">
        <f>"DALLAS"</f>
        <v>DALLAS</v>
      </c>
      <c r="T38" t="str">
        <f>"TX"</f>
        <v>TX</v>
      </c>
      <c r="U38" t="str">
        <f>"75241"</f>
        <v>75241</v>
      </c>
      <c r="V38" t="s">
        <v>37</v>
      </c>
      <c r="W38" t="str">
        <f>"RHCA Member"</f>
        <v>RHCA Member</v>
      </c>
      <c r="X38" t="str">
        <f>"Yes"</f>
        <v>Yes</v>
      </c>
      <c r="Y38" t="str">
        <f>"Yes"</f>
        <v>Yes</v>
      </c>
      <c r="Z38" t="str">
        <f>"No"</f>
        <v>No</v>
      </c>
      <c r="AA38" t="str">
        <f>"38"</f>
        <v>38</v>
      </c>
    </row>
    <row r="39" spans="1:27" x14ac:dyDescent="0.3">
      <c r="A39">
        <v>38</v>
      </c>
      <c r="B39" t="str">
        <f t="shared" si="3"/>
        <v>174015848573313230</v>
      </c>
      <c r="C39" t="s">
        <v>27</v>
      </c>
      <c r="D39" t="s">
        <v>28</v>
      </c>
      <c r="E39" t="s">
        <v>29</v>
      </c>
      <c r="F39" t="s">
        <v>30</v>
      </c>
      <c r="G39" t="s">
        <v>181</v>
      </c>
      <c r="H39" t="s">
        <v>182</v>
      </c>
      <c r="I39" t="s">
        <v>183</v>
      </c>
      <c r="J39" t="s">
        <v>35</v>
      </c>
      <c r="K39" t="s">
        <v>35</v>
      </c>
      <c r="L39" t="s">
        <v>184</v>
      </c>
      <c r="M39">
        <v>641193</v>
      </c>
      <c r="N39" t="s">
        <v>34</v>
      </c>
      <c r="O39" t="str">
        <f>"Senior Director"</f>
        <v>Senior Director</v>
      </c>
      <c r="P39" t="str">
        <f>"NTTA"</f>
        <v>NTTA</v>
      </c>
      <c r="Q39" t="str">
        <f>"1-2144612076"</f>
        <v>1-2144612076</v>
      </c>
      <c r="R39" t="str">
        <f>"5900 W. plano parkway"</f>
        <v>5900 W. plano parkway</v>
      </c>
      <c r="S39" t="str">
        <f>"plano"</f>
        <v>plano</v>
      </c>
      <c r="T39" t="str">
        <f>"TX"</f>
        <v>TX</v>
      </c>
      <c r="U39" t="str">
        <f>"75093"</f>
        <v>75093</v>
      </c>
      <c r="V39" t="s">
        <v>37</v>
      </c>
      <c r="W39" t="str">
        <f>"Guest"</f>
        <v>Guest</v>
      </c>
      <c r="X39" t="str">
        <f>"No"</f>
        <v>No</v>
      </c>
      <c r="Y39" t="str">
        <f>"No"</f>
        <v>No</v>
      </c>
      <c r="Z39" t="str">
        <f>"No"</f>
        <v>No</v>
      </c>
      <c r="AA39" t="str">
        <f>"5"</f>
        <v>5</v>
      </c>
    </row>
    <row r="40" spans="1:27" x14ac:dyDescent="0.3">
      <c r="A40">
        <v>39</v>
      </c>
      <c r="B40" t="str">
        <f t="shared" si="3"/>
        <v>174015848573313230</v>
      </c>
      <c r="C40" t="s">
        <v>27</v>
      </c>
      <c r="D40" t="s">
        <v>28</v>
      </c>
      <c r="E40" t="s">
        <v>29</v>
      </c>
      <c r="F40" t="s">
        <v>30</v>
      </c>
      <c r="G40" t="s">
        <v>185</v>
      </c>
      <c r="H40" t="s">
        <v>186</v>
      </c>
      <c r="I40" t="s">
        <v>187</v>
      </c>
      <c r="J40" t="s">
        <v>35</v>
      </c>
      <c r="K40" t="s">
        <v>35</v>
      </c>
      <c r="L40" t="s">
        <v>188</v>
      </c>
      <c r="M40">
        <v>530207</v>
      </c>
      <c r="N40" t="s">
        <v>35</v>
      </c>
      <c r="O40" t="str">
        <f>"CEO"</f>
        <v>CEO</v>
      </c>
      <c r="P40" t="str">
        <f>"Abundans Information Technology LLC"</f>
        <v>Abundans Information Technology LLC</v>
      </c>
      <c r="Q40" t="str">
        <f>"1-2027040997"</f>
        <v>1-2027040997</v>
      </c>
      <c r="R40" t="str">
        <f>"9659 North Sam Houston Parkway East, #150-231"</f>
        <v>9659 North Sam Houston Parkway East, #150-231</v>
      </c>
      <c r="S40" t="str">
        <f>"Humble"</f>
        <v>Humble</v>
      </c>
      <c r="T40" t="str">
        <f>"TX"</f>
        <v>TX</v>
      </c>
      <c r="U40" t="str">
        <f>"77396"</f>
        <v>77396</v>
      </c>
      <c r="V40" t="s">
        <v>37</v>
      </c>
      <c r="W40" t="str">
        <f>"Guest"</f>
        <v>Guest</v>
      </c>
      <c r="X40" t="str">
        <f>"No"</f>
        <v>No</v>
      </c>
      <c r="Y40" t="str">
        <f>"No"</f>
        <v>No</v>
      </c>
      <c r="Z40" t="str">
        <f>"No"</f>
        <v>No</v>
      </c>
      <c r="AA40" t="str">
        <f>"1"</f>
        <v>1</v>
      </c>
    </row>
    <row r="41" spans="1:27" x14ac:dyDescent="0.3">
      <c r="A41">
        <v>40</v>
      </c>
      <c r="B41" t="str">
        <f t="shared" si="3"/>
        <v>174015848573313230</v>
      </c>
      <c r="C41" t="s">
        <v>27</v>
      </c>
      <c r="D41" t="s">
        <v>28</v>
      </c>
      <c r="E41" t="s">
        <v>29</v>
      </c>
      <c r="F41" t="s">
        <v>30</v>
      </c>
      <c r="G41" t="s">
        <v>189</v>
      </c>
      <c r="H41" t="s">
        <v>190</v>
      </c>
      <c r="I41" t="s">
        <v>191</v>
      </c>
      <c r="J41" t="s">
        <v>35</v>
      </c>
      <c r="K41" t="s">
        <v>35</v>
      </c>
      <c r="L41" t="s">
        <v>192</v>
      </c>
      <c r="M41">
        <v>653213</v>
      </c>
      <c r="N41" t="s">
        <v>35</v>
      </c>
      <c r="O41" t="str">
        <f>"Director Of Diversity Contract Compliance"</f>
        <v>Director Of Diversity Contract Compliance</v>
      </c>
      <c r="P41" t="str">
        <f>"Ferrovial Construction US/Webber"</f>
        <v>Ferrovial Construction US/Webber</v>
      </c>
      <c r="Q41" t="str">
        <f>"1-"</f>
        <v>1-</v>
      </c>
      <c r="R41" t="str">
        <f>"1425 Greenway Drive #500"</f>
        <v>1425 Greenway Drive #500</v>
      </c>
      <c r="S41" t="str">
        <f>"Irving"</f>
        <v>Irving</v>
      </c>
      <c r="T41" t="str">
        <f>"Texas"</f>
        <v>Texas</v>
      </c>
      <c r="U41" t="str">
        <f>"75038"</f>
        <v>75038</v>
      </c>
      <c r="V41" t="s">
        <v>37</v>
      </c>
      <c r="W41" t="str">
        <f>"AGC Member|RHCA Member"</f>
        <v>AGC Member|RHCA Member</v>
      </c>
      <c r="X41" t="str">
        <f>"No"</f>
        <v>No</v>
      </c>
      <c r="Y41" t="str">
        <f>"Yes"</f>
        <v>Yes</v>
      </c>
      <c r="Z41" t="str">
        <f>"No"</f>
        <v>No</v>
      </c>
      <c r="AA41" t="str">
        <f>"40+"</f>
        <v>40+</v>
      </c>
    </row>
    <row r="42" spans="1:27" x14ac:dyDescent="0.3">
      <c r="A42">
        <v>41</v>
      </c>
      <c r="B42" t="str">
        <f t="shared" si="3"/>
        <v>174015848573313230</v>
      </c>
      <c r="C42" t="s">
        <v>27</v>
      </c>
      <c r="D42" t="s">
        <v>28</v>
      </c>
      <c r="E42" t="s">
        <v>29</v>
      </c>
      <c r="F42" t="s">
        <v>30</v>
      </c>
      <c r="G42" t="s">
        <v>125</v>
      </c>
      <c r="H42" t="s">
        <v>193</v>
      </c>
      <c r="I42" t="s">
        <v>194</v>
      </c>
      <c r="J42" t="s">
        <v>35</v>
      </c>
      <c r="K42" t="s">
        <v>34</v>
      </c>
      <c r="L42" t="s">
        <v>195</v>
      </c>
      <c r="M42">
        <v>218614</v>
      </c>
      <c r="N42" t="s">
        <v>35</v>
      </c>
      <c r="O42" t="str">
        <f>"Manager"</f>
        <v>Manager</v>
      </c>
      <c r="P42" t="str">
        <f>"Plural Computing LLC."</f>
        <v>Plural Computing LLC.</v>
      </c>
      <c r="Q42" t="str">
        <f>"1-2144448385"</f>
        <v>1-2144448385</v>
      </c>
      <c r="R42" t="str">
        <f>"1490 BEDSTRAW LN"</f>
        <v>1490 BEDSTRAW LN</v>
      </c>
      <c r="S42" t="str">
        <f>"FRISCO"</f>
        <v>FRISCO</v>
      </c>
      <c r="T42" t="str">
        <f>"TX"</f>
        <v>TX</v>
      </c>
      <c r="U42" t="str">
        <f>"75033"</f>
        <v>75033</v>
      </c>
      <c r="V42" t="s">
        <v>37</v>
      </c>
      <c r="W42" t="str">
        <f>"AACATX Member|AGC Member|RHCA Member|Guest"</f>
        <v>AACATX Member|AGC Member|RHCA Member|Guest</v>
      </c>
      <c r="X42" t="str">
        <f>"In the process"</f>
        <v>In the process</v>
      </c>
      <c r="Y42" t="str">
        <f>"No"</f>
        <v>No</v>
      </c>
      <c r="Z42" t="str">
        <f>"No"</f>
        <v>No</v>
      </c>
      <c r="AA42" t="str">
        <f>"5"</f>
        <v>5</v>
      </c>
    </row>
    <row r="43" spans="1:27" x14ac:dyDescent="0.3">
      <c r="A43">
        <v>42</v>
      </c>
      <c r="B43" t="str">
        <f t="shared" si="3"/>
        <v>174015848573313230</v>
      </c>
      <c r="C43" t="s">
        <v>27</v>
      </c>
      <c r="D43" t="s">
        <v>28</v>
      </c>
      <c r="E43" t="s">
        <v>29</v>
      </c>
      <c r="F43" t="s">
        <v>30</v>
      </c>
      <c r="G43" t="s">
        <v>196</v>
      </c>
      <c r="H43" t="s">
        <v>197</v>
      </c>
      <c r="I43" t="s">
        <v>198</v>
      </c>
      <c r="J43" t="s">
        <v>35</v>
      </c>
      <c r="K43" t="s">
        <v>35</v>
      </c>
      <c r="L43" t="s">
        <v>199</v>
      </c>
      <c r="M43">
        <v>157964</v>
      </c>
      <c r="N43" t="s">
        <v>35</v>
      </c>
      <c r="O43" t="str">
        <f>"Marketing"</f>
        <v>Marketing</v>
      </c>
      <c r="P43" t="str">
        <f>"Members Building Maintenance LLC"</f>
        <v>Members Building Maintenance LLC</v>
      </c>
      <c r="Q43" t="str">
        <f>"1-9722418131"</f>
        <v>1-9722418131</v>
      </c>
      <c r="R43" t="str">
        <f>"2035 Royal Lane Suite 285"</f>
        <v>2035 Royal Lane Suite 285</v>
      </c>
      <c r="S43" t="str">
        <f>"Dallas"</f>
        <v>Dallas</v>
      </c>
      <c r="T43" t="str">
        <f>"TX"</f>
        <v>TX</v>
      </c>
      <c r="U43" t="str">
        <f>"75229"</f>
        <v>75229</v>
      </c>
      <c r="V43" t="s">
        <v>37</v>
      </c>
      <c r="W43" t="str">
        <f>"AACATX Member|AGC Member|RHCA Member|Guest"</f>
        <v>AACATX Member|AGC Member|RHCA Member|Guest</v>
      </c>
      <c r="X43" t="str">
        <f>"Yes|No"</f>
        <v>Yes|No</v>
      </c>
      <c r="Y43" t="str">
        <f>"Yes|No"</f>
        <v>Yes|No</v>
      </c>
      <c r="Z43" t="str">
        <f>"Yes|No"</f>
        <v>Yes|No</v>
      </c>
      <c r="AA43" t="str">
        <f>"38"</f>
        <v>38</v>
      </c>
    </row>
    <row r="44" spans="1:27" x14ac:dyDescent="0.3">
      <c r="A44">
        <v>43</v>
      </c>
      <c r="B44" t="str">
        <f t="shared" si="3"/>
        <v>174015848573313230</v>
      </c>
      <c r="C44" t="s">
        <v>27</v>
      </c>
      <c r="D44" t="s">
        <v>28</v>
      </c>
      <c r="E44" t="s">
        <v>29</v>
      </c>
      <c r="F44" t="s">
        <v>30</v>
      </c>
      <c r="G44" t="s">
        <v>200</v>
      </c>
      <c r="H44" t="s">
        <v>201</v>
      </c>
      <c r="I44" t="s">
        <v>202</v>
      </c>
      <c r="J44" t="s">
        <v>35</v>
      </c>
      <c r="K44" t="s">
        <v>35</v>
      </c>
      <c r="L44" t="s">
        <v>203</v>
      </c>
      <c r="M44">
        <v>148023</v>
      </c>
      <c r="N44" t="s">
        <v>35</v>
      </c>
      <c r="O44" t="str">
        <f>"Vice President"</f>
        <v>Vice President</v>
      </c>
      <c r="P44" t="str">
        <f>"Bowman Engineering &amp; Consulting, inc."</f>
        <v>Bowman Engineering &amp; Consulting, inc.</v>
      </c>
      <c r="Q44" t="str">
        <f>"1-4696150110"</f>
        <v>1-4696150110</v>
      </c>
      <c r="R44" t="str">
        <f>"7128 Envoy Ct., Dallas, Texas 75247"</f>
        <v>7128 Envoy Ct., Dallas, Texas 75247</v>
      </c>
      <c r="S44" t="str">
        <f>"Dallas"</f>
        <v>Dallas</v>
      </c>
      <c r="T44" t="str">
        <f>"Texas"</f>
        <v>Texas</v>
      </c>
      <c r="U44" t="str">
        <f>"75247"</f>
        <v>75247</v>
      </c>
      <c r="V44" t="s">
        <v>37</v>
      </c>
      <c r="W44" t="str">
        <f>"Guest"</f>
        <v>Guest</v>
      </c>
      <c r="X44" t="str">
        <f>"Yes"</f>
        <v>Yes</v>
      </c>
      <c r="Y44" t="str">
        <f>"Yes"</f>
        <v>Yes</v>
      </c>
      <c r="Z44" t="str">
        <f>"Yes"</f>
        <v>Yes</v>
      </c>
      <c r="AA44" t="str">
        <f>"12"</f>
        <v>12</v>
      </c>
    </row>
    <row r="45" spans="1:27" x14ac:dyDescent="0.3">
      <c r="A45">
        <v>44</v>
      </c>
      <c r="B45" t="str">
        <f t="shared" si="3"/>
        <v>174015848573313230</v>
      </c>
      <c r="C45" t="s">
        <v>27</v>
      </c>
      <c r="D45" t="s">
        <v>28</v>
      </c>
      <c r="E45" t="s">
        <v>29</v>
      </c>
      <c r="F45" t="s">
        <v>30</v>
      </c>
      <c r="G45" t="s">
        <v>204</v>
      </c>
      <c r="H45" t="s">
        <v>205</v>
      </c>
      <c r="I45" t="s">
        <v>206</v>
      </c>
      <c r="J45" t="s">
        <v>35</v>
      </c>
      <c r="K45" t="s">
        <v>34</v>
      </c>
      <c r="L45" t="s">
        <v>207</v>
      </c>
      <c r="M45">
        <v>335621</v>
      </c>
      <c r="N45" t="s">
        <v>35</v>
      </c>
      <c r="O45" t="str">
        <f>"Managing Director"</f>
        <v>Managing Director</v>
      </c>
      <c r="P45" t="str">
        <f>"Cargo Lift USA"</f>
        <v>Cargo Lift USA</v>
      </c>
      <c r="Q45" t="str">
        <f>"1-9727461649"</f>
        <v>1-9727461649</v>
      </c>
      <c r="R45" t="str">
        <f>"985 TX-121 BUS"</f>
        <v>985 TX-121 BUS</v>
      </c>
      <c r="S45" t="str">
        <f>"Lewisville"</f>
        <v>Lewisville</v>
      </c>
      <c r="T45" t="str">
        <f>"Texas"</f>
        <v>Texas</v>
      </c>
      <c r="U45" t="str">
        <f>"75057"</f>
        <v>75057</v>
      </c>
      <c r="V45" t="s">
        <v>37</v>
      </c>
      <c r="W45" t="str">
        <f>"RHCA Member|Guest"</f>
        <v>RHCA Member|Guest</v>
      </c>
      <c r="X45" t="str">
        <f>"Yes"</f>
        <v>Yes</v>
      </c>
      <c r="Y45" t="str">
        <f>"No"</f>
        <v>No</v>
      </c>
      <c r="Z45" t="str">
        <f>"No"</f>
        <v>No</v>
      </c>
      <c r="AA45" t="str">
        <f>"2"</f>
        <v>2</v>
      </c>
    </row>
    <row r="46" spans="1:27" x14ac:dyDescent="0.3">
      <c r="A46">
        <v>45</v>
      </c>
      <c r="B46" t="str">
        <f t="shared" si="3"/>
        <v>174015848573313230</v>
      </c>
      <c r="C46" t="s">
        <v>27</v>
      </c>
      <c r="D46" t="s">
        <v>28</v>
      </c>
      <c r="E46" t="s">
        <v>29</v>
      </c>
      <c r="F46" t="s">
        <v>30</v>
      </c>
      <c r="G46" t="s">
        <v>208</v>
      </c>
      <c r="H46" t="s">
        <v>209</v>
      </c>
      <c r="I46" t="s">
        <v>210</v>
      </c>
      <c r="J46" t="s">
        <v>35</v>
      </c>
      <c r="K46" t="s">
        <v>35</v>
      </c>
      <c r="L46" t="s">
        <v>211</v>
      </c>
      <c r="M46">
        <v>552248</v>
      </c>
      <c r="N46" t="s">
        <v>35</v>
      </c>
      <c r="O46" t="str">
        <f>"President"</f>
        <v>President</v>
      </c>
      <c r="P46" t="str">
        <f>"IBARRA"</f>
        <v>IBARRA</v>
      </c>
      <c r="Q46" t="str">
        <f>"1-2142191030"</f>
        <v>1-2142191030</v>
      </c>
      <c r="R46" t="str">
        <f>"3100 Monticello Ave, Suite 840"</f>
        <v>3100 Monticello Ave, Suite 840</v>
      </c>
      <c r="S46" t="str">
        <f>"Dallas"</f>
        <v>Dallas</v>
      </c>
      <c r="T46" t="str">
        <f t="shared" ref="T46:T51" si="4">"TX"</f>
        <v>TX</v>
      </c>
      <c r="U46" t="str">
        <f>"75205"</f>
        <v>75205</v>
      </c>
      <c r="V46" t="s">
        <v>37</v>
      </c>
      <c r="W46" t="str">
        <f>"RHCA Member"</f>
        <v>RHCA Member</v>
      </c>
      <c r="X46" t="str">
        <f>"Yes"</f>
        <v>Yes</v>
      </c>
      <c r="Y46" t="str">
        <f>"Yes"</f>
        <v>Yes</v>
      </c>
      <c r="Z46" t="str">
        <f>"Yes"</f>
        <v>Yes</v>
      </c>
      <c r="AA46" t="str">
        <f>"28"</f>
        <v>28</v>
      </c>
    </row>
    <row r="47" spans="1:27" x14ac:dyDescent="0.3">
      <c r="A47">
        <v>46</v>
      </c>
      <c r="B47" t="str">
        <f t="shared" si="3"/>
        <v>174015848573313230</v>
      </c>
      <c r="C47" t="s">
        <v>27</v>
      </c>
      <c r="D47" t="s">
        <v>28</v>
      </c>
      <c r="E47" t="s">
        <v>29</v>
      </c>
      <c r="F47" t="s">
        <v>30</v>
      </c>
      <c r="G47" t="s">
        <v>212</v>
      </c>
      <c r="H47" t="s">
        <v>213</v>
      </c>
      <c r="I47" t="s">
        <v>214</v>
      </c>
      <c r="J47" t="s">
        <v>35</v>
      </c>
      <c r="K47" t="s">
        <v>35</v>
      </c>
      <c r="L47" t="s">
        <v>215</v>
      </c>
      <c r="M47">
        <v>557148</v>
      </c>
      <c r="N47" t="s">
        <v>35</v>
      </c>
      <c r="O47" t="str">
        <f>"Owner/CEO"</f>
        <v>Owner/CEO</v>
      </c>
      <c r="P47" t="str">
        <f>"COVINGTON'S CONSULTING &amp; SERVICES, LLC"</f>
        <v>COVINGTON'S CONSULTING &amp; SERVICES, LLC</v>
      </c>
      <c r="Q47" t="str">
        <f>"1-4693554840"</f>
        <v>1-4693554840</v>
      </c>
      <c r="R47" t="str">
        <f>"785 W Wheatland Rd, 405"</f>
        <v>785 W Wheatland Rd, 405</v>
      </c>
      <c r="S47" t="str">
        <f>"Duncanville"</f>
        <v>Duncanville</v>
      </c>
      <c r="T47" t="str">
        <f t="shared" si="4"/>
        <v>TX</v>
      </c>
      <c r="U47" t="str">
        <f>"75116"</f>
        <v>75116</v>
      </c>
      <c r="V47" t="s">
        <v>37</v>
      </c>
      <c r="W47" t="str">
        <f>"RHCA Member|Guest"</f>
        <v>RHCA Member|Guest</v>
      </c>
      <c r="X47" t="str">
        <f>"Yes"</f>
        <v>Yes</v>
      </c>
      <c r="Y47" t="str">
        <f t="shared" ref="Y47:Z49" si="5">"No"</f>
        <v>No</v>
      </c>
      <c r="Z47" t="str">
        <f t="shared" si="5"/>
        <v>No</v>
      </c>
      <c r="AA47" t="str">
        <f>"25"</f>
        <v>25</v>
      </c>
    </row>
    <row r="48" spans="1:27" x14ac:dyDescent="0.3">
      <c r="A48">
        <v>47</v>
      </c>
      <c r="B48" t="str">
        <f t="shared" si="3"/>
        <v>174015848573313230</v>
      </c>
      <c r="C48" t="s">
        <v>27</v>
      </c>
      <c r="D48" t="s">
        <v>28</v>
      </c>
      <c r="E48" t="s">
        <v>29</v>
      </c>
      <c r="F48" t="s">
        <v>30</v>
      </c>
      <c r="G48" t="s">
        <v>216</v>
      </c>
      <c r="H48" t="s">
        <v>217</v>
      </c>
      <c r="I48" t="s">
        <v>218</v>
      </c>
      <c r="J48" t="s">
        <v>35</v>
      </c>
      <c r="K48" t="s">
        <v>35</v>
      </c>
      <c r="L48" t="s">
        <v>219</v>
      </c>
      <c r="M48">
        <v>557276</v>
      </c>
      <c r="N48" t="s">
        <v>35</v>
      </c>
      <c r="O48" t="str">
        <f>"Managing Partner"</f>
        <v>Managing Partner</v>
      </c>
      <c r="P48" t="str">
        <f>"KEE Concrete and Construction, Inc."</f>
        <v>KEE Concrete and Construction, Inc.</v>
      </c>
      <c r="Q48" t="str">
        <f>"1-6825592952"</f>
        <v>1-6825592952</v>
      </c>
      <c r="R48" t="str">
        <f>"209 W. 2nd Street, Ste. 317"</f>
        <v>209 W. 2nd Street, Ste. 317</v>
      </c>
      <c r="S48" t="str">
        <f>"Fort Worth"</f>
        <v>Fort Worth</v>
      </c>
      <c r="T48" t="str">
        <f t="shared" si="4"/>
        <v>TX</v>
      </c>
      <c r="U48" t="str">
        <f>"76102"</f>
        <v>76102</v>
      </c>
      <c r="V48" t="s">
        <v>37</v>
      </c>
      <c r="W48" t="str">
        <f>"Guest"</f>
        <v>Guest</v>
      </c>
      <c r="X48" t="str">
        <f>"No"</f>
        <v>No</v>
      </c>
      <c r="Y48" t="str">
        <f t="shared" si="5"/>
        <v>No</v>
      </c>
      <c r="Z48" t="str">
        <f t="shared" si="5"/>
        <v>No</v>
      </c>
      <c r="AA48" t="str">
        <f>"5.5"</f>
        <v>5.5</v>
      </c>
    </row>
    <row r="49" spans="1:27" x14ac:dyDescent="0.3">
      <c r="A49">
        <v>48</v>
      </c>
      <c r="B49" t="str">
        <f t="shared" si="3"/>
        <v>174015848573313230</v>
      </c>
      <c r="C49" t="s">
        <v>27</v>
      </c>
      <c r="D49" t="s">
        <v>28</v>
      </c>
      <c r="E49" t="s">
        <v>29</v>
      </c>
      <c r="F49" t="s">
        <v>30</v>
      </c>
      <c r="G49" t="s">
        <v>220</v>
      </c>
      <c r="H49" t="s">
        <v>221</v>
      </c>
      <c r="I49" t="s">
        <v>222</v>
      </c>
      <c r="J49" t="s">
        <v>35</v>
      </c>
      <c r="K49" t="s">
        <v>35</v>
      </c>
      <c r="L49" t="s">
        <v>223</v>
      </c>
      <c r="M49">
        <v>559588</v>
      </c>
      <c r="N49" t="s">
        <v>35</v>
      </c>
      <c r="O49" t="str">
        <f>"CEO"</f>
        <v>CEO</v>
      </c>
      <c r="P49" t="str">
        <f>"Black Girls Drone Inc."</f>
        <v>Black Girls Drone Inc.</v>
      </c>
      <c r="Q49" t="str">
        <f>"1-9729995628"</f>
        <v>1-9729995628</v>
      </c>
      <c r="R49" t="str">
        <f>"256 E Corporate Dr, 1502"</f>
        <v>256 E Corporate Dr, 1502</v>
      </c>
      <c r="S49" t="str">
        <f>"Lewisville"</f>
        <v>Lewisville</v>
      </c>
      <c r="T49" t="str">
        <f t="shared" si="4"/>
        <v>TX</v>
      </c>
      <c r="U49" t="str">
        <f>"75067"</f>
        <v>75067</v>
      </c>
      <c r="V49" t="s">
        <v>37</v>
      </c>
      <c r="W49" t="str">
        <f>"Guest"</f>
        <v>Guest</v>
      </c>
      <c r="X49" t="str">
        <f>"No"</f>
        <v>No</v>
      </c>
      <c r="Y49" t="str">
        <f t="shared" si="5"/>
        <v>No</v>
      </c>
      <c r="Z49" t="str">
        <f t="shared" si="5"/>
        <v>No</v>
      </c>
      <c r="AA49" t="str">
        <f>"1"</f>
        <v>1</v>
      </c>
    </row>
    <row r="50" spans="1:27" x14ac:dyDescent="0.3">
      <c r="A50">
        <v>49</v>
      </c>
      <c r="B50" t="str">
        <f t="shared" si="3"/>
        <v>174015848573313230</v>
      </c>
      <c r="C50" t="s">
        <v>27</v>
      </c>
      <c r="D50" t="s">
        <v>28</v>
      </c>
      <c r="E50" t="s">
        <v>29</v>
      </c>
      <c r="F50" t="s">
        <v>30</v>
      </c>
      <c r="G50" t="s">
        <v>224</v>
      </c>
      <c r="H50" t="s">
        <v>225</v>
      </c>
      <c r="I50" t="s">
        <v>226</v>
      </c>
      <c r="J50" t="s">
        <v>35</v>
      </c>
      <c r="K50" t="s">
        <v>34</v>
      </c>
      <c r="L50" t="s">
        <v>227</v>
      </c>
      <c r="M50">
        <v>246804</v>
      </c>
      <c r="N50" t="s">
        <v>35</v>
      </c>
      <c r="O50" t="str">
        <f>"PARTS/SERVICE MANAGER"</f>
        <v>PARTS/SERVICE MANAGER</v>
      </c>
      <c r="P50" t="str">
        <f>"TEXAS UNDERGROUND, INC."</f>
        <v>TEXAS UNDERGROUND, INC.</v>
      </c>
      <c r="Q50" t="str">
        <f>"1-2818104117"</f>
        <v>1-2818104117</v>
      </c>
      <c r="R50" t="str">
        <f>"508 Prairie Street, Arlington, TX, USA"</f>
        <v>508 Prairie Street, Arlington, TX, USA</v>
      </c>
      <c r="S50" t="str">
        <f>"Arlington"</f>
        <v>Arlington</v>
      </c>
      <c r="T50" t="str">
        <f t="shared" si="4"/>
        <v>TX</v>
      </c>
      <c r="U50" t="str">
        <f>"76011"</f>
        <v>76011</v>
      </c>
      <c r="V50" t="s">
        <v>37</v>
      </c>
      <c r="W50" t="str">
        <f>"AACATX Member|AGC Member|RHCA Member|Guest"</f>
        <v>AACATX Member|AGC Member|RHCA Member|Guest</v>
      </c>
      <c r="X50" t="str">
        <f>"No"</f>
        <v>No</v>
      </c>
      <c r="Y50" t="str">
        <f>"Yes"</f>
        <v>Yes</v>
      </c>
      <c r="Z50" t="str">
        <f>"No"</f>
        <v>No</v>
      </c>
      <c r="AA50" t="str">
        <f>"34"</f>
        <v>34</v>
      </c>
    </row>
    <row r="51" spans="1:27" x14ac:dyDescent="0.3">
      <c r="A51">
        <v>50</v>
      </c>
      <c r="B51" t="str">
        <f t="shared" si="3"/>
        <v>174015848573313230</v>
      </c>
      <c r="C51" t="s">
        <v>27</v>
      </c>
      <c r="D51" t="s">
        <v>28</v>
      </c>
      <c r="E51" t="s">
        <v>29</v>
      </c>
      <c r="F51" t="s">
        <v>30</v>
      </c>
      <c r="G51" t="s">
        <v>228</v>
      </c>
      <c r="H51" t="s">
        <v>229</v>
      </c>
      <c r="I51" t="s">
        <v>230</v>
      </c>
      <c r="J51" t="s">
        <v>35</v>
      </c>
      <c r="K51" t="s">
        <v>35</v>
      </c>
      <c r="L51" t="s">
        <v>231</v>
      </c>
      <c r="M51">
        <v>286067</v>
      </c>
      <c r="N51" t="s">
        <v>35</v>
      </c>
      <c r="O51" t="str">
        <f>"Contracts and DBE Compliance Manager"</f>
        <v>Contracts and DBE Compliance Manager</v>
      </c>
      <c r="P51" t="str">
        <f>"Granite Construction Company"</f>
        <v>Granite Construction Company</v>
      </c>
      <c r="Q51" t="str">
        <f>"1-9723536272"</f>
        <v>1-9723536272</v>
      </c>
      <c r="R51" t="str">
        <f>"701 E Main Street"</f>
        <v>701 E Main Street</v>
      </c>
      <c r="S51" t="str">
        <f>"Lewisville"</f>
        <v>Lewisville</v>
      </c>
      <c r="T51" t="str">
        <f t="shared" si="4"/>
        <v>TX</v>
      </c>
      <c r="U51" t="str">
        <f>"75057"</f>
        <v>75057</v>
      </c>
      <c r="V51" t="s">
        <v>37</v>
      </c>
      <c r="W51" t="str">
        <f>"AGC Member|Guest"</f>
        <v>AGC Member|Guest</v>
      </c>
      <c r="X51" t="str">
        <f>"No"</f>
        <v>No</v>
      </c>
      <c r="Y51" t="str">
        <f>"Yes"</f>
        <v>Yes</v>
      </c>
      <c r="Z51" t="str">
        <f>"Yes"</f>
        <v>Yes</v>
      </c>
      <c r="AA51" t="str">
        <f>"98"</f>
        <v>98</v>
      </c>
    </row>
    <row r="52" spans="1:27" x14ac:dyDescent="0.3">
      <c r="A52">
        <v>51</v>
      </c>
      <c r="B52" t="str">
        <f t="shared" si="3"/>
        <v>174015848573313230</v>
      </c>
      <c r="C52" t="s">
        <v>27</v>
      </c>
      <c r="D52" t="s">
        <v>28</v>
      </c>
      <c r="E52" t="s">
        <v>29</v>
      </c>
      <c r="F52" t="s">
        <v>30</v>
      </c>
      <c r="G52" t="s">
        <v>232</v>
      </c>
      <c r="H52" t="s">
        <v>233</v>
      </c>
      <c r="I52" t="s">
        <v>234</v>
      </c>
      <c r="J52" t="s">
        <v>35</v>
      </c>
      <c r="K52" t="s">
        <v>34</v>
      </c>
      <c r="L52" t="s">
        <v>235</v>
      </c>
      <c r="M52">
        <v>320927</v>
      </c>
      <c r="N52" t="s">
        <v>35</v>
      </c>
      <c r="O52" t="str">
        <f>"Finance Officer"</f>
        <v>Finance Officer</v>
      </c>
      <c r="P52" t="str">
        <f>"Dallas Metro Services, Inc."</f>
        <v>Dallas Metro Services, Inc.</v>
      </c>
      <c r="Q52" t="str">
        <f>"1-19726237139"</f>
        <v>1-19726237139</v>
      </c>
      <c r="R52" t="str">
        <f>"12225 GREENVILLE AVENUE Ste. 736"</f>
        <v>12225 GREENVILLE AVENUE Ste. 736</v>
      </c>
      <c r="S52" t="str">
        <f>"Row"</f>
        <v>Row</v>
      </c>
      <c r="T52" t="str">
        <f>"Texas"</f>
        <v>Texas</v>
      </c>
      <c r="U52" t="str">
        <f>"75243"</f>
        <v>75243</v>
      </c>
      <c r="V52" t="s">
        <v>37</v>
      </c>
      <c r="W52" t="str">
        <f>"AACATX Member|AGC Member|Guest"</f>
        <v>AACATX Member|AGC Member|Guest</v>
      </c>
      <c r="X52" t="str">
        <f>"In the process"</f>
        <v>In the process</v>
      </c>
      <c r="Y52" t="str">
        <f>"No"</f>
        <v>No</v>
      </c>
      <c r="Z52" t="str">
        <f>"No"</f>
        <v>No</v>
      </c>
      <c r="AA52" t="str">
        <f>"5"</f>
        <v>5</v>
      </c>
    </row>
    <row r="53" spans="1:27" x14ac:dyDescent="0.3">
      <c r="A53">
        <v>52</v>
      </c>
      <c r="B53" t="str">
        <f t="shared" si="3"/>
        <v>174015848573313230</v>
      </c>
      <c r="C53" t="s">
        <v>27</v>
      </c>
      <c r="D53" t="s">
        <v>28</v>
      </c>
      <c r="E53" t="s">
        <v>29</v>
      </c>
      <c r="F53" t="s">
        <v>30</v>
      </c>
      <c r="G53" t="s">
        <v>236</v>
      </c>
      <c r="H53" t="s">
        <v>237</v>
      </c>
      <c r="I53" t="s">
        <v>238</v>
      </c>
      <c r="J53" t="s">
        <v>35</v>
      </c>
      <c r="K53" t="s">
        <v>35</v>
      </c>
      <c r="L53" t="s">
        <v>239</v>
      </c>
      <c r="M53">
        <v>293629</v>
      </c>
      <c r="N53" t="s">
        <v>35</v>
      </c>
      <c r="O53" t="str">
        <f>"General Manager"</f>
        <v>General Manager</v>
      </c>
      <c r="P53" t="str">
        <f>"PaveTex"</f>
        <v>PaveTex</v>
      </c>
      <c r="Q53" t="str">
        <f>"1-817-367-9590"</f>
        <v>1-817-367-9590</v>
      </c>
      <c r="R53" t="str">
        <f>"2703 Marshall Street"</f>
        <v>2703 Marshall Street</v>
      </c>
      <c r="S53" t="str">
        <f>"Fort Worth"</f>
        <v>Fort Worth</v>
      </c>
      <c r="T53" t="str">
        <f>"Texas"</f>
        <v>Texas</v>
      </c>
      <c r="U53" t="str">
        <f>"76111"</f>
        <v>76111</v>
      </c>
      <c r="V53" t="s">
        <v>37</v>
      </c>
      <c r="W53" t="str">
        <f>"Guest"</f>
        <v>Guest</v>
      </c>
      <c r="X53" t="str">
        <f>"No"</f>
        <v>No</v>
      </c>
      <c r="Y53" t="str">
        <f>"Yes"</f>
        <v>Yes</v>
      </c>
      <c r="Z53" t="str">
        <f>"Yes"</f>
        <v>Yes</v>
      </c>
      <c r="AA53" t="str">
        <f>"20"</f>
        <v>20</v>
      </c>
    </row>
    <row r="54" spans="1:27" x14ac:dyDescent="0.3">
      <c r="A54">
        <v>53</v>
      </c>
      <c r="B54" t="str">
        <f t="shared" si="3"/>
        <v>174015848573313230</v>
      </c>
      <c r="C54" t="s">
        <v>27</v>
      </c>
      <c r="D54" t="s">
        <v>28</v>
      </c>
      <c r="E54" t="s">
        <v>29</v>
      </c>
      <c r="F54" t="s">
        <v>30</v>
      </c>
      <c r="G54" t="s">
        <v>240</v>
      </c>
      <c r="H54" t="s">
        <v>241</v>
      </c>
      <c r="I54" t="s">
        <v>242</v>
      </c>
      <c r="J54" t="s">
        <v>35</v>
      </c>
      <c r="K54" t="s">
        <v>34</v>
      </c>
      <c r="L54" t="s">
        <v>243</v>
      </c>
      <c r="M54">
        <v>285341</v>
      </c>
      <c r="N54" t="s">
        <v>35</v>
      </c>
      <c r="O54" t="str">
        <f>"CEO"</f>
        <v>CEO</v>
      </c>
      <c r="P54" t="str">
        <f>"Devoil Solutions LLC"</f>
        <v>Devoil Solutions LLC</v>
      </c>
      <c r="Q54" t="str">
        <f>"1-225-333-8864"</f>
        <v>1-225-333-8864</v>
      </c>
      <c r="R54" t="str">
        <f>"6965 Creekhollow Drive, Apt 312"</f>
        <v>6965 Creekhollow Drive, Apt 312</v>
      </c>
      <c r="S54" t="str">
        <f>"Fort Worth"</f>
        <v>Fort Worth</v>
      </c>
      <c r="T54" t="str">
        <f>"Texas"</f>
        <v>Texas</v>
      </c>
      <c r="U54" t="str">
        <f>"76137"</f>
        <v>76137</v>
      </c>
      <c r="V54" t="s">
        <v>37</v>
      </c>
      <c r="W54" t="str">
        <f>"Guest"</f>
        <v>Guest</v>
      </c>
      <c r="X54" t="str">
        <f>"Yes"</f>
        <v>Yes</v>
      </c>
      <c r="Y54" t="str">
        <f>"No"</f>
        <v>No</v>
      </c>
      <c r="Z54" t="str">
        <f>"No"</f>
        <v>No</v>
      </c>
      <c r="AA54" t="str">
        <f>"2"</f>
        <v>2</v>
      </c>
    </row>
    <row r="55" spans="1:27" x14ac:dyDescent="0.3">
      <c r="A55">
        <v>54</v>
      </c>
      <c r="B55" t="str">
        <f t="shared" si="3"/>
        <v>174015848573313230</v>
      </c>
      <c r="C55" t="s">
        <v>27</v>
      </c>
      <c r="D55" t="s">
        <v>28</v>
      </c>
      <c r="E55" t="s">
        <v>29</v>
      </c>
      <c r="F55" t="s">
        <v>30</v>
      </c>
      <c r="G55" t="s">
        <v>244</v>
      </c>
      <c r="H55" t="s">
        <v>142</v>
      </c>
      <c r="I55" t="s">
        <v>245</v>
      </c>
      <c r="J55" t="s">
        <v>35</v>
      </c>
      <c r="K55" t="s">
        <v>35</v>
      </c>
      <c r="L55" t="s">
        <v>246</v>
      </c>
      <c r="M55">
        <v>794226</v>
      </c>
      <c r="N55" t="s">
        <v>35</v>
      </c>
      <c r="O55" t="str">
        <f>"Engineer"</f>
        <v>Engineer</v>
      </c>
      <c r="P55" t="str">
        <f>"PAVETEX Engineering"</f>
        <v>PAVETEX Engineering</v>
      </c>
      <c r="Q55" t="str">
        <f>"1-8062391250"</f>
        <v>1-8062391250</v>
      </c>
      <c r="R55" t="str">
        <f>"2307 Marshall Street"</f>
        <v>2307 Marshall Street</v>
      </c>
      <c r="S55" t="str">
        <f>"Fort Worth"</f>
        <v>Fort Worth</v>
      </c>
      <c r="T55" t="str">
        <f>"TX"</f>
        <v>TX</v>
      </c>
      <c r="U55" t="str">
        <f>"76111"</f>
        <v>76111</v>
      </c>
      <c r="V55" t="s">
        <v>37</v>
      </c>
      <c r="W55" t="str">
        <f>"AGC Member|Guest"</f>
        <v>AGC Member|Guest</v>
      </c>
      <c r="X55" t="str">
        <f>"No"</f>
        <v>No</v>
      </c>
      <c r="Y55" t="str">
        <f>"Yes"</f>
        <v>Yes</v>
      </c>
      <c r="Z55" t="str">
        <f>"Yes"</f>
        <v>Yes</v>
      </c>
      <c r="AA55" t="str">
        <f>"20"</f>
        <v>20</v>
      </c>
    </row>
    <row r="56" spans="1:27" x14ac:dyDescent="0.3">
      <c r="A56">
        <v>55</v>
      </c>
      <c r="B56" t="str">
        <f t="shared" si="3"/>
        <v>174015848573313230</v>
      </c>
      <c r="C56" t="s">
        <v>27</v>
      </c>
      <c r="D56" t="s">
        <v>28</v>
      </c>
      <c r="E56" t="s">
        <v>29</v>
      </c>
      <c r="F56" t="s">
        <v>30</v>
      </c>
      <c r="G56" t="s">
        <v>247</v>
      </c>
      <c r="H56" t="s">
        <v>216</v>
      </c>
      <c r="I56" t="s">
        <v>248</v>
      </c>
      <c r="J56" t="s">
        <v>35</v>
      </c>
      <c r="K56" t="s">
        <v>34</v>
      </c>
      <c r="L56" t="s">
        <v>249</v>
      </c>
      <c r="M56">
        <v>566129</v>
      </c>
      <c r="N56" t="s">
        <v>35</v>
      </c>
      <c r="O56" t="str">
        <f>"Owner/Drafter"</f>
        <v>Owner/Drafter</v>
      </c>
      <c r="P56" t="str">
        <f>"PMS Designs LLC"</f>
        <v>PMS Designs LLC</v>
      </c>
      <c r="Q56" t="str">
        <f>"1-2144174910"</f>
        <v>1-2144174910</v>
      </c>
      <c r="R56" t="str">
        <f>"9202 Flickering Shadow Drive"</f>
        <v>9202 Flickering Shadow Drive</v>
      </c>
      <c r="S56" t="str">
        <f>"Dallas"</f>
        <v>Dallas</v>
      </c>
      <c r="T56" t="str">
        <f>"Texas"</f>
        <v>Texas</v>
      </c>
      <c r="U56" t="str">
        <f>"75243"</f>
        <v>75243</v>
      </c>
      <c r="V56" t="s">
        <v>37</v>
      </c>
      <c r="W56" t="str">
        <f>"Guest"</f>
        <v>Guest</v>
      </c>
      <c r="X56" t="str">
        <f>"Yes"</f>
        <v>Yes</v>
      </c>
      <c r="Y56" t="str">
        <f t="shared" ref="Y56:Z58" si="6">"No"</f>
        <v>No</v>
      </c>
      <c r="Z56" t="str">
        <f t="shared" si="6"/>
        <v>No</v>
      </c>
      <c r="AA56" t="str">
        <f>"3"</f>
        <v>3</v>
      </c>
    </row>
    <row r="57" spans="1:27" x14ac:dyDescent="0.3">
      <c r="A57">
        <v>56</v>
      </c>
      <c r="B57" t="str">
        <f t="shared" si="3"/>
        <v>174015848573313230</v>
      </c>
      <c r="C57" t="s">
        <v>27</v>
      </c>
      <c r="D57" t="s">
        <v>28</v>
      </c>
      <c r="E57" t="s">
        <v>29</v>
      </c>
      <c r="F57" t="s">
        <v>30</v>
      </c>
      <c r="G57" t="s">
        <v>250</v>
      </c>
      <c r="H57" t="s">
        <v>251</v>
      </c>
      <c r="I57" t="s">
        <v>252</v>
      </c>
      <c r="J57" t="s">
        <v>35</v>
      </c>
      <c r="K57" t="s">
        <v>34</v>
      </c>
      <c r="L57" t="s">
        <v>253</v>
      </c>
      <c r="M57">
        <v>540765</v>
      </c>
      <c r="N57" t="s">
        <v>35</v>
      </c>
      <c r="O57" t="str">
        <f>"President"</f>
        <v>President</v>
      </c>
      <c r="P57" t="str">
        <f>"Leepopo Corporation, Inc"</f>
        <v>Leepopo Corporation, Inc</v>
      </c>
      <c r="Q57" t="str">
        <f>"1-2107140946"</f>
        <v>1-2107140946</v>
      </c>
      <c r="R57" t="str">
        <f>"7111 Autumn Park"</f>
        <v>7111 Autumn Park</v>
      </c>
      <c r="S57" t="str">
        <f>"San Antonio"</f>
        <v>San Antonio</v>
      </c>
      <c r="T57" t="str">
        <f>"Texas"</f>
        <v>Texas</v>
      </c>
      <c r="U57" t="str">
        <f>"78249"</f>
        <v>78249</v>
      </c>
      <c r="V57" t="s">
        <v>37</v>
      </c>
      <c r="W57" t="str">
        <f>"Guest"</f>
        <v>Guest</v>
      </c>
      <c r="X57" t="str">
        <f>"No"</f>
        <v>No</v>
      </c>
      <c r="Y57" t="str">
        <f t="shared" si="6"/>
        <v>No</v>
      </c>
      <c r="Z57" t="str">
        <f t="shared" si="6"/>
        <v>No</v>
      </c>
      <c r="AA57" t="str">
        <f>"4"</f>
        <v>4</v>
      </c>
    </row>
    <row r="58" spans="1:27" x14ac:dyDescent="0.3">
      <c r="A58">
        <v>57</v>
      </c>
      <c r="B58" t="str">
        <f t="shared" si="3"/>
        <v>174015848573313230</v>
      </c>
      <c r="C58" t="s">
        <v>27</v>
      </c>
      <c r="D58" t="s">
        <v>28</v>
      </c>
      <c r="E58" t="s">
        <v>29</v>
      </c>
      <c r="F58" t="s">
        <v>30</v>
      </c>
      <c r="G58" t="s">
        <v>254</v>
      </c>
      <c r="H58" t="s">
        <v>255</v>
      </c>
      <c r="I58" t="s">
        <v>256</v>
      </c>
      <c r="J58" t="s">
        <v>35</v>
      </c>
      <c r="K58" t="s">
        <v>35</v>
      </c>
      <c r="L58" t="s">
        <v>257</v>
      </c>
      <c r="M58">
        <v>563422</v>
      </c>
      <c r="N58" t="s">
        <v>35</v>
      </c>
      <c r="O58" t="str">
        <f>"Sales Manger"</f>
        <v>Sales Manger</v>
      </c>
      <c r="P58" t="str">
        <f>"Zenidog, Inc"</f>
        <v>Zenidog, Inc</v>
      </c>
      <c r="Q58" t="str">
        <f>"1-8325159063"</f>
        <v>1-8325159063</v>
      </c>
      <c r="R58" t="str">
        <f>"9239 Monarch Mist Ln"</f>
        <v>9239 Monarch Mist Ln</v>
      </c>
      <c r="S58" t="str">
        <f>"Houston"</f>
        <v>Houston</v>
      </c>
      <c r="T58" t="str">
        <f>"TX"</f>
        <v>TX</v>
      </c>
      <c r="U58" t="str">
        <f>"77070"</f>
        <v>77070</v>
      </c>
      <c r="V58" t="s">
        <v>37</v>
      </c>
      <c r="W58" t="str">
        <f>"Guest"</f>
        <v>Guest</v>
      </c>
      <c r="X58" t="str">
        <f>"No"</f>
        <v>No</v>
      </c>
      <c r="Y58" t="str">
        <f t="shared" si="6"/>
        <v>No</v>
      </c>
      <c r="Z58" t="str">
        <f t="shared" si="6"/>
        <v>No</v>
      </c>
      <c r="AA58" t="str">
        <f>"3"</f>
        <v>3</v>
      </c>
    </row>
    <row r="59" spans="1:27" x14ac:dyDescent="0.3">
      <c r="A59">
        <v>58</v>
      </c>
      <c r="B59" t="str">
        <f t="shared" si="3"/>
        <v>174015848573313230</v>
      </c>
      <c r="C59" t="s">
        <v>27</v>
      </c>
      <c r="D59" t="s">
        <v>28</v>
      </c>
      <c r="E59" t="s">
        <v>29</v>
      </c>
      <c r="F59" t="s">
        <v>30</v>
      </c>
      <c r="G59" t="s">
        <v>258</v>
      </c>
      <c r="H59" t="s">
        <v>259</v>
      </c>
      <c r="I59" t="s">
        <v>260</v>
      </c>
      <c r="J59" t="s">
        <v>35</v>
      </c>
      <c r="K59" t="s">
        <v>34</v>
      </c>
      <c r="L59" t="s">
        <v>261</v>
      </c>
      <c r="M59">
        <v>742297</v>
      </c>
      <c r="N59" t="s">
        <v>35</v>
      </c>
      <c r="O59" t="str">
        <f>"Business Development"</f>
        <v>Business Development</v>
      </c>
      <c r="P59" t="str">
        <f>"Kiewit"</f>
        <v>Kiewit</v>
      </c>
      <c r="Q59" t="str">
        <f>"1-303-562-5494"</f>
        <v>1-303-562-5494</v>
      </c>
      <c r="R59" t="str">
        <f>"12510 Belford Avenue, N/A"</f>
        <v>12510 Belford Avenue, N/A</v>
      </c>
      <c r="S59" t="str">
        <f>"Englewood"</f>
        <v>Englewood</v>
      </c>
      <c r="T59" t="str">
        <f>"Colorado"</f>
        <v>Colorado</v>
      </c>
      <c r="U59" t="str">
        <f>"80112"</f>
        <v>80112</v>
      </c>
      <c r="V59" t="s">
        <v>37</v>
      </c>
      <c r="W59" t="str">
        <f>"AGC Member|Guest"</f>
        <v>AGC Member|Guest</v>
      </c>
      <c r="X59" t="str">
        <f>"No"</f>
        <v>No</v>
      </c>
      <c r="Y59" t="str">
        <f>"Yes"</f>
        <v>Yes</v>
      </c>
      <c r="Z59" t="str">
        <f>"Yes"</f>
        <v>Yes</v>
      </c>
      <c r="AA59" t="str">
        <f>"100+"</f>
        <v>100+</v>
      </c>
    </row>
    <row r="60" spans="1:27" x14ac:dyDescent="0.3">
      <c r="A60">
        <v>59</v>
      </c>
      <c r="B60" t="str">
        <f t="shared" si="3"/>
        <v>174015848573313230</v>
      </c>
      <c r="C60" t="s">
        <v>27</v>
      </c>
      <c r="D60" t="s">
        <v>28</v>
      </c>
      <c r="E60" t="s">
        <v>29</v>
      </c>
      <c r="F60" t="s">
        <v>30</v>
      </c>
      <c r="G60" t="s">
        <v>262</v>
      </c>
      <c r="H60" t="s">
        <v>263</v>
      </c>
      <c r="I60" t="s">
        <v>264</v>
      </c>
      <c r="J60" t="s">
        <v>35</v>
      </c>
      <c r="K60" t="s">
        <v>35</v>
      </c>
      <c r="L60" t="s">
        <v>265</v>
      </c>
      <c r="M60">
        <v>454375</v>
      </c>
      <c r="N60" t="s">
        <v>35</v>
      </c>
      <c r="O60" t="str">
        <f>"Sr Project Manager"</f>
        <v>Sr Project Manager</v>
      </c>
      <c r="P60" t="str">
        <f>"KAB EXCAVATION, LLC"</f>
        <v>KAB EXCAVATION, LLC</v>
      </c>
      <c r="Q60" t="str">
        <f>"1-4698059028"</f>
        <v>1-4698059028</v>
      </c>
      <c r="R60" t="str">
        <f>"833 E.  Northside Drive"</f>
        <v>833 E.  Northside Drive</v>
      </c>
      <c r="S60" t="str">
        <f>"Pilot Point"</f>
        <v>Pilot Point</v>
      </c>
      <c r="T60" t="str">
        <f>"Texas"</f>
        <v>Texas</v>
      </c>
      <c r="U60" t="str">
        <f>"76258"</f>
        <v>76258</v>
      </c>
      <c r="V60" t="s">
        <v>37</v>
      </c>
      <c r="W60" t="str">
        <f>"Guest"</f>
        <v>Guest</v>
      </c>
      <c r="X60" t="str">
        <f>"Yes"</f>
        <v>Yes</v>
      </c>
      <c r="Y60" t="str">
        <f>"Yes"</f>
        <v>Yes</v>
      </c>
      <c r="Z60" t="str">
        <f>"Yes"</f>
        <v>Yes</v>
      </c>
      <c r="AA60" t="str">
        <f>"6"</f>
        <v>6</v>
      </c>
    </row>
    <row r="61" spans="1:27" x14ac:dyDescent="0.3">
      <c r="A61">
        <v>60</v>
      </c>
      <c r="B61" t="str">
        <f t="shared" si="3"/>
        <v>174015848573313230</v>
      </c>
      <c r="C61" t="s">
        <v>27</v>
      </c>
      <c r="D61" t="s">
        <v>28</v>
      </c>
      <c r="E61" t="s">
        <v>29</v>
      </c>
      <c r="F61" t="s">
        <v>30</v>
      </c>
      <c r="G61" t="s">
        <v>181</v>
      </c>
      <c r="H61" t="s">
        <v>266</v>
      </c>
      <c r="I61" t="s">
        <v>267</v>
      </c>
      <c r="J61" t="s">
        <v>35</v>
      </c>
      <c r="K61" t="s">
        <v>34</v>
      </c>
      <c r="L61" t="s">
        <v>268</v>
      </c>
      <c r="M61">
        <v>666761</v>
      </c>
      <c r="N61" t="s">
        <v>35</v>
      </c>
      <c r="O61" t="str">
        <f>"Vice President"</f>
        <v>Vice President</v>
      </c>
      <c r="P61" t="str">
        <f>"Dikita Enterprises, Inc."</f>
        <v>Dikita Enterprises, Inc.</v>
      </c>
      <c r="Q61" t="str">
        <f>"1-2146348844134"</f>
        <v>1-2146348844134</v>
      </c>
      <c r="R61" t="str">
        <f>"Dikita Enterprises, Inc., 1420 W Mockingbird Ln, Suite 600"</f>
        <v>Dikita Enterprises, Inc., 1420 W Mockingbird Ln, Suite 600</v>
      </c>
      <c r="S61" t="str">
        <f>"Dallas"</f>
        <v>Dallas</v>
      </c>
      <c r="T61" t="str">
        <f>"TX"</f>
        <v>TX</v>
      </c>
      <c r="U61" t="str">
        <f>"75247-6971"</f>
        <v>75247-6971</v>
      </c>
      <c r="V61" t="s">
        <v>37</v>
      </c>
      <c r="W61" t="str">
        <f>"Guest"</f>
        <v>Guest</v>
      </c>
      <c r="X61" t="str">
        <f>"Yes"</f>
        <v>Yes</v>
      </c>
      <c r="Y61" t="str">
        <f>"No"</f>
        <v>No</v>
      </c>
      <c r="Z61" t="str">
        <f>"Yes"</f>
        <v>Yes</v>
      </c>
      <c r="AA61" t="str">
        <f>"45"</f>
        <v>45</v>
      </c>
    </row>
    <row r="62" spans="1:27" x14ac:dyDescent="0.3">
      <c r="A62">
        <v>61</v>
      </c>
      <c r="B62" t="str">
        <f t="shared" si="3"/>
        <v>174015848573313230</v>
      </c>
      <c r="C62" t="s">
        <v>27</v>
      </c>
      <c r="D62" t="s">
        <v>28</v>
      </c>
      <c r="E62" t="s">
        <v>29</v>
      </c>
      <c r="F62" t="s">
        <v>30</v>
      </c>
      <c r="G62" t="s">
        <v>269</v>
      </c>
      <c r="H62" t="s">
        <v>270</v>
      </c>
      <c r="I62" t="s">
        <v>271</v>
      </c>
      <c r="J62" t="s">
        <v>35</v>
      </c>
      <c r="K62" t="s">
        <v>35</v>
      </c>
      <c r="L62" t="s">
        <v>272</v>
      </c>
      <c r="M62">
        <v>708101</v>
      </c>
      <c r="N62" t="s">
        <v>35</v>
      </c>
      <c r="O62" t="str">
        <f>"Founder &amp; Principal"</f>
        <v>Founder &amp; Principal</v>
      </c>
      <c r="P62" t="str">
        <f>"The Ashelyn Group, LLC"</f>
        <v>The Ashelyn Group, LLC</v>
      </c>
      <c r="Q62" t="str">
        <f>"1-8179950408"</f>
        <v>1-8179950408</v>
      </c>
      <c r="R62" t="str">
        <f>"600 Six Flags Drive Suite #437"</f>
        <v>600 Six Flags Drive Suite #437</v>
      </c>
      <c r="S62" t="str">
        <f>"Arlington"</f>
        <v>Arlington</v>
      </c>
      <c r="T62" t="str">
        <f>"Texas"</f>
        <v>Texas</v>
      </c>
      <c r="U62" t="str">
        <f>"76011"</f>
        <v>76011</v>
      </c>
      <c r="V62" t="s">
        <v>37</v>
      </c>
      <c r="W62" t="str">
        <f>"RHCA Member"</f>
        <v>RHCA Member</v>
      </c>
      <c r="X62" t="str">
        <f>"In the process"</f>
        <v>In the process</v>
      </c>
      <c r="Y62" t="str">
        <f>"No"</f>
        <v>No</v>
      </c>
      <c r="Z62" t="str">
        <f>"No"</f>
        <v>No</v>
      </c>
      <c r="AA62" t="str">
        <f>"3"</f>
        <v>3</v>
      </c>
    </row>
    <row r="63" spans="1:27" x14ac:dyDescent="0.3">
      <c r="A63">
        <v>62</v>
      </c>
      <c r="B63" t="str">
        <f t="shared" si="3"/>
        <v>174015848573313230</v>
      </c>
      <c r="C63" t="s">
        <v>27</v>
      </c>
      <c r="D63" t="s">
        <v>28</v>
      </c>
      <c r="E63" t="s">
        <v>29</v>
      </c>
      <c r="F63" t="s">
        <v>30</v>
      </c>
      <c r="G63" t="s">
        <v>273</v>
      </c>
      <c r="H63" t="s">
        <v>274</v>
      </c>
      <c r="I63" t="s">
        <v>275</v>
      </c>
      <c r="J63" t="s">
        <v>35</v>
      </c>
      <c r="K63" t="s">
        <v>34</v>
      </c>
      <c r="L63" t="s">
        <v>276</v>
      </c>
      <c r="M63">
        <v>362806</v>
      </c>
      <c r="N63" t="s">
        <v>35</v>
      </c>
      <c r="O63" t="str">
        <f>"Owner"</f>
        <v>Owner</v>
      </c>
      <c r="P63" t="str">
        <f>"PHD Resources &amp; Taxes"</f>
        <v>PHD Resources &amp; Taxes</v>
      </c>
      <c r="Q63" t="str">
        <f>"1-3462045158"</f>
        <v>1-3462045158</v>
      </c>
      <c r="R63" t="str">
        <f>"5445 Almeda Road, 301"</f>
        <v>5445 Almeda Road, 301</v>
      </c>
      <c r="S63" t="str">
        <f>"Houston"</f>
        <v>Houston</v>
      </c>
      <c r="T63" t="str">
        <f>"Texas"</f>
        <v>Texas</v>
      </c>
      <c r="U63" t="str">
        <f>"77004"</f>
        <v>77004</v>
      </c>
      <c r="V63" t="s">
        <v>37</v>
      </c>
      <c r="W63" t="str">
        <f>"Guest"</f>
        <v>Guest</v>
      </c>
      <c r="X63" t="str">
        <f>"Yes"</f>
        <v>Yes</v>
      </c>
      <c r="Y63" t="str">
        <f>"No"</f>
        <v>No</v>
      </c>
      <c r="Z63" t="str">
        <f>"No"</f>
        <v>No</v>
      </c>
      <c r="AA63" t="str">
        <f>"6 years"</f>
        <v>6 years</v>
      </c>
    </row>
    <row r="64" spans="1:27" x14ac:dyDescent="0.3">
      <c r="A64">
        <v>63</v>
      </c>
      <c r="B64" t="str">
        <f t="shared" si="3"/>
        <v>174015848573313230</v>
      </c>
      <c r="C64" t="s">
        <v>27</v>
      </c>
      <c r="D64" t="s">
        <v>28</v>
      </c>
      <c r="E64" t="s">
        <v>29</v>
      </c>
      <c r="F64" t="s">
        <v>30</v>
      </c>
      <c r="G64" t="s">
        <v>277</v>
      </c>
      <c r="H64" t="s">
        <v>278</v>
      </c>
      <c r="I64" t="s">
        <v>279</v>
      </c>
      <c r="J64" t="s">
        <v>35</v>
      </c>
      <c r="K64" t="s">
        <v>34</v>
      </c>
      <c r="L64" t="s">
        <v>280</v>
      </c>
      <c r="M64">
        <v>692019</v>
      </c>
      <c r="N64" t="s">
        <v>35</v>
      </c>
      <c r="O64" t="str">
        <f>"President"</f>
        <v>President</v>
      </c>
      <c r="P64" t="str">
        <f>"All Out Construction &amp; Hauling Inc"</f>
        <v>All Out Construction &amp; Hauling Inc</v>
      </c>
      <c r="Q64" t="str">
        <f>"1-214-708-0315"</f>
        <v>1-214-708-0315</v>
      </c>
      <c r="R64" t="str">
        <f>"PO Box 718"</f>
        <v>PO Box 718</v>
      </c>
      <c r="S64" t="str">
        <f>"Quinlan"</f>
        <v>Quinlan</v>
      </c>
      <c r="T64" t="str">
        <f>"TX"</f>
        <v>TX</v>
      </c>
      <c r="U64" t="str">
        <f>"75474"</f>
        <v>75474</v>
      </c>
      <c r="V64" t="s">
        <v>37</v>
      </c>
      <c r="W64" t="str">
        <f>"Guest"</f>
        <v>Guest</v>
      </c>
      <c r="X64" t="str">
        <f>"No"</f>
        <v>No</v>
      </c>
      <c r="Y64" t="str">
        <f>"No"</f>
        <v>No</v>
      </c>
      <c r="Z64" t="str">
        <f>"No"</f>
        <v>No</v>
      </c>
      <c r="AA64" t="str">
        <f>"10"</f>
        <v>10</v>
      </c>
    </row>
    <row r="65" spans="1:27" x14ac:dyDescent="0.3">
      <c r="A65">
        <v>64</v>
      </c>
      <c r="B65" t="str">
        <f t="shared" si="3"/>
        <v>174015848573313230</v>
      </c>
      <c r="C65" t="s">
        <v>27</v>
      </c>
      <c r="D65" t="s">
        <v>28</v>
      </c>
      <c r="E65" t="s">
        <v>29</v>
      </c>
      <c r="F65" t="s">
        <v>30</v>
      </c>
      <c r="G65" t="s">
        <v>281</v>
      </c>
      <c r="H65" t="s">
        <v>282</v>
      </c>
      <c r="I65" t="s">
        <v>283</v>
      </c>
      <c r="J65" t="s">
        <v>35</v>
      </c>
      <c r="K65" t="s">
        <v>34</v>
      </c>
      <c r="L65" t="s">
        <v>284</v>
      </c>
      <c r="M65">
        <v>786697</v>
      </c>
      <c r="N65" t="s">
        <v>35</v>
      </c>
      <c r="O65" t="str">
        <f>"VP"</f>
        <v>VP</v>
      </c>
      <c r="P65" t="str">
        <f>"BOM Technology"</f>
        <v>BOM Technology</v>
      </c>
      <c r="Q65" t="str">
        <f>"1-14698653509"</f>
        <v>1-14698653509</v>
      </c>
      <c r="R65" t="str">
        <f>"8205 Steamers ln"</f>
        <v>8205 Steamers ln</v>
      </c>
      <c r="S65" t="str">
        <f>"frisco"</f>
        <v>frisco</v>
      </c>
      <c r="T65" t="str">
        <f>"Texas"</f>
        <v>Texas</v>
      </c>
      <c r="U65" t="str">
        <f>"75035"</f>
        <v>75035</v>
      </c>
      <c r="V65" t="s">
        <v>37</v>
      </c>
      <c r="W65" t="str">
        <f>"RHCA Member"</f>
        <v>RHCA Member</v>
      </c>
      <c r="X65" t="str">
        <f>"In the process"</f>
        <v>In the process</v>
      </c>
      <c r="Y65" t="str">
        <f>"No"</f>
        <v>No</v>
      </c>
      <c r="Z65" t="str">
        <f>"No"</f>
        <v>No</v>
      </c>
      <c r="AA65" t="str">
        <f>"2"</f>
        <v>2</v>
      </c>
    </row>
    <row r="66" spans="1:27" x14ac:dyDescent="0.3">
      <c r="A66">
        <v>65</v>
      </c>
      <c r="B66" t="str">
        <f t="shared" ref="B66:B97" si="7">"174015848573313230"</f>
        <v>174015848573313230</v>
      </c>
      <c r="C66" t="s">
        <v>27</v>
      </c>
      <c r="D66" t="s">
        <v>28</v>
      </c>
      <c r="E66" t="s">
        <v>29</v>
      </c>
      <c r="F66" t="s">
        <v>30</v>
      </c>
      <c r="G66" t="s">
        <v>118</v>
      </c>
      <c r="H66" t="s">
        <v>285</v>
      </c>
      <c r="I66" t="s">
        <v>286</v>
      </c>
      <c r="J66" t="s">
        <v>35</v>
      </c>
      <c r="K66" t="s">
        <v>35</v>
      </c>
      <c r="L66" t="s">
        <v>287</v>
      </c>
      <c r="M66">
        <v>912638</v>
      </c>
      <c r="N66" t="s">
        <v>35</v>
      </c>
      <c r="O66" t="str">
        <f>"Business Development Manager"</f>
        <v>Business Development Manager</v>
      </c>
      <c r="P66" t="str">
        <f>"Flatiron Constructors, Inc."</f>
        <v>Flatiron Constructors, Inc.</v>
      </c>
      <c r="Q66" t="str">
        <f>"1-(772) 201-2393"</f>
        <v>1-(772) 201-2393</v>
      </c>
      <c r="R66" t="str">
        <f>"2350 Airport Fwy"</f>
        <v>2350 Airport Fwy</v>
      </c>
      <c r="S66" t="str">
        <f>"Bedford"</f>
        <v>Bedford</v>
      </c>
      <c r="T66" t="str">
        <f>"TX"</f>
        <v>TX</v>
      </c>
      <c r="U66" t="str">
        <f>"76022"</f>
        <v>76022</v>
      </c>
      <c r="V66" t="s">
        <v>37</v>
      </c>
      <c r="W66" t="str">
        <f>"AGC Member|RHCA Member"</f>
        <v>AGC Member|RHCA Member</v>
      </c>
      <c r="X66" t="str">
        <f>"No"</f>
        <v>No</v>
      </c>
      <c r="Y66" t="str">
        <f>"Yes"</f>
        <v>Yes</v>
      </c>
      <c r="Z66" t="str">
        <f>"Yes"</f>
        <v>Yes</v>
      </c>
      <c r="AA66" t="str">
        <f>"73"</f>
        <v>73</v>
      </c>
    </row>
    <row r="67" spans="1:27" x14ac:dyDescent="0.3">
      <c r="A67">
        <v>66</v>
      </c>
      <c r="B67" t="str">
        <f t="shared" si="7"/>
        <v>174015848573313230</v>
      </c>
      <c r="C67" t="s">
        <v>27</v>
      </c>
      <c r="D67" t="s">
        <v>28</v>
      </c>
      <c r="E67" t="s">
        <v>29</v>
      </c>
      <c r="F67" t="s">
        <v>30</v>
      </c>
      <c r="G67" t="s">
        <v>288</v>
      </c>
      <c r="H67" t="s">
        <v>289</v>
      </c>
      <c r="I67" t="s">
        <v>290</v>
      </c>
      <c r="J67" t="s">
        <v>35</v>
      </c>
      <c r="K67" t="s">
        <v>35</v>
      </c>
      <c r="L67" t="s">
        <v>291</v>
      </c>
      <c r="M67">
        <v>330010</v>
      </c>
      <c r="N67" t="s">
        <v>35</v>
      </c>
      <c r="O67" t="str">
        <f>"Vice President"</f>
        <v>Vice President</v>
      </c>
      <c r="P67" t="str">
        <f>"Earth Haulers, Inc."</f>
        <v>Earth Haulers, Inc.</v>
      </c>
      <c r="Q67" t="str">
        <f>"1-8175402777"</f>
        <v>1-8175402777</v>
      </c>
      <c r="R67" t="str">
        <f>"11500 Mosier Valley Rd."</f>
        <v>11500 Mosier Valley Rd.</v>
      </c>
      <c r="S67" t="str">
        <f>"Fort Worth"</f>
        <v>Fort Worth</v>
      </c>
      <c r="T67" t="str">
        <f>"TX"</f>
        <v>TX</v>
      </c>
      <c r="U67" t="str">
        <f>"76040"</f>
        <v>76040</v>
      </c>
      <c r="V67" t="s">
        <v>37</v>
      </c>
      <c r="W67" t="str">
        <f>"Guest"</f>
        <v>Guest</v>
      </c>
      <c r="X67" t="str">
        <f>"Yes"</f>
        <v>Yes</v>
      </c>
      <c r="Y67" t="str">
        <f>"Yes"</f>
        <v>Yes</v>
      </c>
      <c r="Z67" t="str">
        <f>"Yes"</f>
        <v>Yes</v>
      </c>
      <c r="AA67" t="str">
        <f>"43"</f>
        <v>43</v>
      </c>
    </row>
    <row r="68" spans="1:27" x14ac:dyDescent="0.3">
      <c r="A68">
        <v>67</v>
      </c>
      <c r="B68" t="str">
        <f t="shared" si="7"/>
        <v>174015848573313230</v>
      </c>
      <c r="C68" t="s">
        <v>27</v>
      </c>
      <c r="D68" t="s">
        <v>28</v>
      </c>
      <c r="E68" t="s">
        <v>29</v>
      </c>
      <c r="F68" t="s">
        <v>30</v>
      </c>
      <c r="G68" t="s">
        <v>292</v>
      </c>
      <c r="H68" t="s">
        <v>293</v>
      </c>
      <c r="I68" t="s">
        <v>294</v>
      </c>
      <c r="J68" t="s">
        <v>35</v>
      </c>
      <c r="K68" t="s">
        <v>34</v>
      </c>
      <c r="L68" t="s">
        <v>295</v>
      </c>
      <c r="M68">
        <v>587543</v>
      </c>
      <c r="N68" t="s">
        <v>35</v>
      </c>
      <c r="O68" t="str">
        <f>"Owner"</f>
        <v>Owner</v>
      </c>
      <c r="P68" t="str">
        <f>"Freedom Freight Management, LLC"</f>
        <v>Freedom Freight Management, LLC</v>
      </c>
      <c r="Q68" t="str">
        <f>"1-903-571-1862"</f>
        <v>1-903-571-1862</v>
      </c>
      <c r="R68" t="str">
        <f>"17173 CR 122"</f>
        <v>17173 CR 122</v>
      </c>
      <c r="S68" t="str">
        <f>"Tyler"</f>
        <v>Tyler</v>
      </c>
      <c r="T68" t="str">
        <f>"TX"</f>
        <v>TX</v>
      </c>
      <c r="U68" t="str">
        <f>"75703"</f>
        <v>75703</v>
      </c>
      <c r="V68" t="s">
        <v>37</v>
      </c>
      <c r="W68" t="str">
        <f>"Guest"</f>
        <v>Guest</v>
      </c>
      <c r="X68" t="str">
        <f>"No"</f>
        <v>No</v>
      </c>
      <c r="Y68" t="str">
        <f>"No"</f>
        <v>No</v>
      </c>
      <c r="Z68" t="str">
        <f>"No"</f>
        <v>No</v>
      </c>
      <c r="AA68" t="str">
        <f>"2"</f>
        <v>2</v>
      </c>
    </row>
    <row r="69" spans="1:27" x14ac:dyDescent="0.3">
      <c r="A69">
        <v>68</v>
      </c>
      <c r="B69" t="str">
        <f t="shared" si="7"/>
        <v>174015848573313230</v>
      </c>
      <c r="C69" t="s">
        <v>27</v>
      </c>
      <c r="D69" t="s">
        <v>28</v>
      </c>
      <c r="E69" t="s">
        <v>29</v>
      </c>
      <c r="F69" t="s">
        <v>30</v>
      </c>
      <c r="G69" t="s">
        <v>296</v>
      </c>
      <c r="H69" t="s">
        <v>297</v>
      </c>
      <c r="I69" t="s">
        <v>298</v>
      </c>
      <c r="J69" t="s">
        <v>35</v>
      </c>
      <c r="K69" t="s">
        <v>34</v>
      </c>
      <c r="L69" t="s">
        <v>299</v>
      </c>
      <c r="M69">
        <v>806694</v>
      </c>
      <c r="N69" t="s">
        <v>35</v>
      </c>
      <c r="O69" t="str">
        <f>"Outside Sales"</f>
        <v>Outside Sales</v>
      </c>
      <c r="P69" t="str">
        <f>"Barricades Unlimited"</f>
        <v>Barricades Unlimited</v>
      </c>
      <c r="Q69" t="str">
        <f>"1-8067861292"</f>
        <v>1-8067861292</v>
      </c>
      <c r="R69" t="str">
        <f>"2141Collins Dr"</f>
        <v>2141Collins Dr</v>
      </c>
      <c r="S69" t="str">
        <f>"Denton"</f>
        <v>Denton</v>
      </c>
      <c r="T69" t="str">
        <f>"TX"</f>
        <v>TX</v>
      </c>
      <c r="U69" t="str">
        <f>"76208"</f>
        <v>76208</v>
      </c>
      <c r="V69" t="s">
        <v>37</v>
      </c>
      <c r="W69" t="str">
        <f>"AGC Member"</f>
        <v>AGC Member</v>
      </c>
      <c r="X69" t="str">
        <f>"No"</f>
        <v>No</v>
      </c>
      <c r="Y69" t="str">
        <f>"Yes"</f>
        <v>Yes</v>
      </c>
      <c r="Z69" t="str">
        <f>"Yes"</f>
        <v>Yes</v>
      </c>
      <c r="AA69" t="str">
        <f>"30"</f>
        <v>30</v>
      </c>
    </row>
    <row r="70" spans="1:27" x14ac:dyDescent="0.3">
      <c r="A70">
        <v>69</v>
      </c>
      <c r="B70" t="str">
        <f t="shared" si="7"/>
        <v>174015848573313230</v>
      </c>
      <c r="C70" t="s">
        <v>27</v>
      </c>
      <c r="D70" t="s">
        <v>28</v>
      </c>
      <c r="E70" t="s">
        <v>29</v>
      </c>
      <c r="F70" t="s">
        <v>30</v>
      </c>
      <c r="G70" t="s">
        <v>300</v>
      </c>
      <c r="H70" t="s">
        <v>301</v>
      </c>
      <c r="I70" t="s">
        <v>302</v>
      </c>
      <c r="J70" t="s">
        <v>35</v>
      </c>
      <c r="K70" t="s">
        <v>34</v>
      </c>
      <c r="L70" t="s">
        <v>303</v>
      </c>
      <c r="M70">
        <v>688457</v>
      </c>
      <c r="N70" t="s">
        <v>35</v>
      </c>
      <c r="O70" t="str">
        <f>"National Account Manager"</f>
        <v>National Account Manager</v>
      </c>
      <c r="P70" t="str">
        <f>"Indeed Staff"</f>
        <v>Indeed Staff</v>
      </c>
      <c r="Q70" t="str">
        <f>"1-512-664-0711"</f>
        <v>1-512-664-0711</v>
      </c>
      <c r="R70" t="str">
        <f>"Austin"</f>
        <v>Austin</v>
      </c>
      <c r="S70" t="str">
        <f>"Austin"</f>
        <v>Austin</v>
      </c>
      <c r="T70" t="str">
        <f>"Tx"</f>
        <v>Tx</v>
      </c>
      <c r="U70" t="str">
        <f>"78704"</f>
        <v>78704</v>
      </c>
      <c r="V70" t="s">
        <v>37</v>
      </c>
      <c r="W70" t="str">
        <f>"Guest"</f>
        <v>Guest</v>
      </c>
      <c r="X70" t="str">
        <f>"No"</f>
        <v>No</v>
      </c>
      <c r="Y70" t="str">
        <f>"No"</f>
        <v>No</v>
      </c>
      <c r="Z70" t="str">
        <f>"No"</f>
        <v>No</v>
      </c>
      <c r="AA70" t="str">
        <f>"8"</f>
        <v>8</v>
      </c>
    </row>
    <row r="71" spans="1:27" x14ac:dyDescent="0.3">
      <c r="A71">
        <v>70</v>
      </c>
      <c r="B71" t="str">
        <f t="shared" si="7"/>
        <v>174015848573313230</v>
      </c>
      <c r="C71" t="s">
        <v>27</v>
      </c>
      <c r="D71" t="s">
        <v>28</v>
      </c>
      <c r="E71" t="s">
        <v>29</v>
      </c>
      <c r="F71" t="s">
        <v>30</v>
      </c>
      <c r="G71" t="s">
        <v>304</v>
      </c>
      <c r="H71" t="s">
        <v>305</v>
      </c>
      <c r="I71" t="s">
        <v>306</v>
      </c>
      <c r="J71" t="s">
        <v>35</v>
      </c>
      <c r="K71" t="s">
        <v>35</v>
      </c>
      <c r="L71" t="s">
        <v>307</v>
      </c>
      <c r="M71">
        <v>603617</v>
      </c>
      <c r="N71" t="s">
        <v>35</v>
      </c>
      <c r="O71" t="str">
        <f>"Risk and safety Manager"</f>
        <v>Risk and safety Manager</v>
      </c>
      <c r="P71" t="str">
        <f>"Spartan Reinforcing, LLC - Houston, TX - 200538043"</f>
        <v>Spartan Reinforcing, LLC - Houston, TX - 200538043</v>
      </c>
      <c r="Q71" t="str">
        <f>"1-2544348747"</f>
        <v>1-2544348747</v>
      </c>
      <c r="R71" t="str">
        <f>"15840 FM 529 Suite 303, Suite, Suite 303"</f>
        <v>15840 FM 529 Suite 303, Suite, Suite 303</v>
      </c>
      <c r="S71" t="str">
        <f>"Houston"</f>
        <v>Houston</v>
      </c>
      <c r="T71" t="str">
        <f>"TX"</f>
        <v>TX</v>
      </c>
      <c r="U71" t="str">
        <f>"77095"</f>
        <v>77095</v>
      </c>
      <c r="V71" t="s">
        <v>37</v>
      </c>
      <c r="W71" t="str">
        <f>"AGC Member|RHCA Member"</f>
        <v>AGC Member|RHCA Member</v>
      </c>
      <c r="X71" t="str">
        <f>"Yes"</f>
        <v>Yes</v>
      </c>
      <c r="Y71" t="str">
        <f>"Yes"</f>
        <v>Yes</v>
      </c>
      <c r="Z71" t="str">
        <f>"No"</f>
        <v>No</v>
      </c>
      <c r="AA71" t="str">
        <f>"3.5"</f>
        <v>3.5</v>
      </c>
    </row>
    <row r="72" spans="1:27" x14ac:dyDescent="0.3">
      <c r="A72">
        <v>71</v>
      </c>
      <c r="B72" t="str">
        <f t="shared" si="7"/>
        <v>174015848573313230</v>
      </c>
      <c r="C72" t="s">
        <v>27</v>
      </c>
      <c r="D72" t="s">
        <v>28</v>
      </c>
      <c r="E72" t="s">
        <v>29</v>
      </c>
      <c r="F72" t="s">
        <v>30</v>
      </c>
      <c r="G72" t="s">
        <v>308</v>
      </c>
      <c r="H72" t="s">
        <v>309</v>
      </c>
      <c r="I72" t="s">
        <v>310</v>
      </c>
      <c r="J72" t="s">
        <v>35</v>
      </c>
      <c r="K72" t="s">
        <v>34</v>
      </c>
      <c r="L72" t="s">
        <v>311</v>
      </c>
      <c r="M72">
        <v>818855</v>
      </c>
      <c r="N72" t="s">
        <v>35</v>
      </c>
      <c r="O72" t="str">
        <f>"Principal"</f>
        <v>Principal</v>
      </c>
      <c r="P72" t="str">
        <f>"Tom Hines - Architect, LLC"</f>
        <v>Tom Hines - Architect, LLC</v>
      </c>
      <c r="Q72" t="str">
        <f>"1-18177060114"</f>
        <v>1-18177060114</v>
      </c>
      <c r="R72" t="str">
        <f>"6303 W Shady Shores Rd"</f>
        <v>6303 W Shady Shores Rd</v>
      </c>
      <c r="S72" t="str">
        <f>"Denton"</f>
        <v>Denton</v>
      </c>
      <c r="T72" t="str">
        <f>"TX"</f>
        <v>TX</v>
      </c>
      <c r="U72" t="str">
        <f>"76208"</f>
        <v>76208</v>
      </c>
      <c r="V72" t="s">
        <v>37</v>
      </c>
      <c r="W72" t="str">
        <f>"Guest"</f>
        <v>Guest</v>
      </c>
      <c r="X72" t="str">
        <f>"No"</f>
        <v>No</v>
      </c>
      <c r="Y72" t="str">
        <f>"No"</f>
        <v>No</v>
      </c>
      <c r="Z72" t="str">
        <f>"No"</f>
        <v>No</v>
      </c>
      <c r="AA72" t="str">
        <f>"25"</f>
        <v>25</v>
      </c>
    </row>
    <row r="73" spans="1:27" x14ac:dyDescent="0.3">
      <c r="A73">
        <v>72</v>
      </c>
      <c r="B73" t="str">
        <f t="shared" si="7"/>
        <v>174015848573313230</v>
      </c>
      <c r="C73" t="s">
        <v>27</v>
      </c>
      <c r="D73" t="s">
        <v>28</v>
      </c>
      <c r="E73" t="s">
        <v>29</v>
      </c>
      <c r="F73" t="s">
        <v>30</v>
      </c>
      <c r="G73" t="s">
        <v>312</v>
      </c>
      <c r="H73" t="s">
        <v>87</v>
      </c>
      <c r="I73" t="s">
        <v>313</v>
      </c>
      <c r="J73" t="s">
        <v>35</v>
      </c>
      <c r="K73" t="s">
        <v>34</v>
      </c>
      <c r="L73" t="s">
        <v>314</v>
      </c>
      <c r="M73">
        <v>478538</v>
      </c>
      <c r="N73" t="s">
        <v>35</v>
      </c>
      <c r="O73" t="str">
        <f>"Director of Industry Affairs"</f>
        <v>Director of Industry Affairs</v>
      </c>
      <c r="P73" t="str">
        <f>"AGC of Texas"</f>
        <v>AGC of Texas</v>
      </c>
      <c r="Q73" t="str">
        <f>"1-5124784691"</f>
        <v>1-5124784691</v>
      </c>
      <c r="R73" t="str">
        <f>"300 Barton Springs Road"</f>
        <v>300 Barton Springs Road</v>
      </c>
      <c r="S73" t="str">
        <f>"Austin"</f>
        <v>Austin</v>
      </c>
      <c r="T73" t="str">
        <f>"Texas"</f>
        <v>Texas</v>
      </c>
      <c r="U73" t="str">
        <f>"78641"</f>
        <v>78641</v>
      </c>
      <c r="V73" t="s">
        <v>37</v>
      </c>
      <c r="W73" t="str">
        <f>"AGC Member"</f>
        <v>AGC Member</v>
      </c>
      <c r="X73" t="str">
        <f>"No"</f>
        <v>No</v>
      </c>
      <c r="Y73" t="str">
        <f>"No"</f>
        <v>No</v>
      </c>
      <c r="Z73" t="str">
        <f>"No"</f>
        <v>No</v>
      </c>
      <c r="AA73" t="str">
        <f>"15"</f>
        <v>15</v>
      </c>
    </row>
    <row r="74" spans="1:27" x14ac:dyDescent="0.3">
      <c r="A74">
        <v>73</v>
      </c>
      <c r="B74" t="str">
        <f t="shared" si="7"/>
        <v>174015848573313230</v>
      </c>
      <c r="C74" t="s">
        <v>27</v>
      </c>
      <c r="D74" t="s">
        <v>28</v>
      </c>
      <c r="E74" t="s">
        <v>29</v>
      </c>
      <c r="F74" t="s">
        <v>30</v>
      </c>
      <c r="G74" t="s">
        <v>315</v>
      </c>
      <c r="H74" t="s">
        <v>316</v>
      </c>
      <c r="I74" t="s">
        <v>317</v>
      </c>
      <c r="J74" t="s">
        <v>35</v>
      </c>
      <c r="K74" t="s">
        <v>34</v>
      </c>
      <c r="L74" t="s">
        <v>318</v>
      </c>
      <c r="M74">
        <v>235208</v>
      </c>
      <c r="N74" t="s">
        <v>35</v>
      </c>
      <c r="O74" t="str">
        <f>"President"</f>
        <v>President</v>
      </c>
      <c r="P74" t="str">
        <f>"D &amp; W Trucking Inc."</f>
        <v>D &amp; W Trucking Inc.</v>
      </c>
      <c r="Q74" t="str">
        <f>"1-800-440-5219"</f>
        <v>1-800-440-5219</v>
      </c>
      <c r="R74" t="str">
        <f>"309 E. Hillcrest Blvd Ste 118"</f>
        <v>309 E. Hillcrest Blvd Ste 118</v>
      </c>
      <c r="S74" t="str">
        <f>"Inglewood"</f>
        <v>Inglewood</v>
      </c>
      <c r="T74" t="str">
        <f>"CA"</f>
        <v>CA</v>
      </c>
      <c r="U74" t="str">
        <f>"90301"</f>
        <v>90301</v>
      </c>
      <c r="V74" t="s">
        <v>37</v>
      </c>
      <c r="W74" t="str">
        <f>"AGC Member|Guest"</f>
        <v>AGC Member|Guest</v>
      </c>
      <c r="X74" t="str">
        <f>"Yes"</f>
        <v>Yes</v>
      </c>
      <c r="Y74" t="str">
        <f>"No"</f>
        <v>No</v>
      </c>
      <c r="Z74" t="str">
        <f>"No"</f>
        <v>No</v>
      </c>
      <c r="AA74" t="str">
        <f>"4"</f>
        <v>4</v>
      </c>
    </row>
    <row r="75" spans="1:27" x14ac:dyDescent="0.3">
      <c r="A75">
        <v>74</v>
      </c>
      <c r="B75" t="str">
        <f t="shared" si="7"/>
        <v>174015848573313230</v>
      </c>
      <c r="C75" t="s">
        <v>27</v>
      </c>
      <c r="D75" t="s">
        <v>28</v>
      </c>
      <c r="E75" t="s">
        <v>29</v>
      </c>
      <c r="F75" t="s">
        <v>30</v>
      </c>
      <c r="G75" t="s">
        <v>319</v>
      </c>
      <c r="H75" t="s">
        <v>320</v>
      </c>
      <c r="I75" t="s">
        <v>321</v>
      </c>
      <c r="J75" t="s">
        <v>35</v>
      </c>
      <c r="K75" t="s">
        <v>34</v>
      </c>
      <c r="L75" t="s">
        <v>322</v>
      </c>
      <c r="M75">
        <v>884959</v>
      </c>
      <c r="N75" t="s">
        <v>35</v>
      </c>
      <c r="O75" t="str">
        <f>"Manager"</f>
        <v>Manager</v>
      </c>
      <c r="P75" t="str">
        <f>"Self"</f>
        <v>Self</v>
      </c>
      <c r="Q75" t="str">
        <f>"1-6823084028"</f>
        <v>1-6823084028</v>
      </c>
      <c r="R75" t="str">
        <f>"3761 Rogene"</f>
        <v>3761 Rogene</v>
      </c>
      <c r="S75" t="str">
        <f>"North Richland Hills"</f>
        <v>North Richland Hills</v>
      </c>
      <c r="T75" t="str">
        <f>"TX"</f>
        <v>TX</v>
      </c>
      <c r="U75" t="str">
        <f>"76180"</f>
        <v>76180</v>
      </c>
      <c r="V75" t="s">
        <v>37</v>
      </c>
      <c r="W75" t="str">
        <f>"RHCA Member|Guest"</f>
        <v>RHCA Member|Guest</v>
      </c>
      <c r="X75" t="str">
        <f>"No"</f>
        <v>No</v>
      </c>
      <c r="Y75" t="str">
        <f t="shared" ref="Y75:Z77" si="8">"Yes"</f>
        <v>Yes</v>
      </c>
      <c r="Z75" t="str">
        <f t="shared" si="8"/>
        <v>Yes</v>
      </c>
      <c r="AA75" t="str">
        <f>"20"</f>
        <v>20</v>
      </c>
    </row>
    <row r="76" spans="1:27" x14ac:dyDescent="0.3">
      <c r="A76">
        <v>75</v>
      </c>
      <c r="B76" t="str">
        <f t="shared" si="7"/>
        <v>174015848573313230</v>
      </c>
      <c r="C76" t="s">
        <v>27</v>
      </c>
      <c r="D76" t="s">
        <v>28</v>
      </c>
      <c r="E76" t="s">
        <v>29</v>
      </c>
      <c r="F76" t="s">
        <v>30</v>
      </c>
      <c r="G76" t="s">
        <v>323</v>
      </c>
      <c r="H76" t="s">
        <v>324</v>
      </c>
      <c r="I76" t="s">
        <v>325</v>
      </c>
      <c r="J76" t="s">
        <v>35</v>
      </c>
      <c r="K76" t="s">
        <v>34</v>
      </c>
      <c r="L76" t="s">
        <v>326</v>
      </c>
      <c r="M76">
        <v>537695</v>
      </c>
      <c r="N76" t="s">
        <v>35</v>
      </c>
      <c r="O76" t="str">
        <f>"Sales Manager"</f>
        <v>Sales Manager</v>
      </c>
      <c r="P76" t="str">
        <f>"Eagle Barricade.com"</f>
        <v>Eagle Barricade.com</v>
      </c>
      <c r="Q76" t="str">
        <f>"1-214-687-8497"</f>
        <v>1-214-687-8497</v>
      </c>
      <c r="R76" t="str">
        <f>"2162 Country Ln"</f>
        <v>2162 Country Ln</v>
      </c>
      <c r="S76" t="str">
        <f>"McKinney"</f>
        <v>McKinney</v>
      </c>
      <c r="T76" t="str">
        <f>"TX"</f>
        <v>TX</v>
      </c>
      <c r="U76" t="str">
        <f>"75069"</f>
        <v>75069</v>
      </c>
      <c r="V76" t="s">
        <v>37</v>
      </c>
      <c r="W76" t="str">
        <f>"AGC Member|RHCA Member"</f>
        <v>AGC Member|RHCA Member</v>
      </c>
      <c r="X76" t="str">
        <f t="shared" ref="X76:X81" si="9">"Yes"</f>
        <v>Yes</v>
      </c>
      <c r="Y76" t="str">
        <f t="shared" si="8"/>
        <v>Yes</v>
      </c>
      <c r="Z76" t="str">
        <f t="shared" si="8"/>
        <v>Yes</v>
      </c>
      <c r="AA76" t="str">
        <f>"6"</f>
        <v>6</v>
      </c>
    </row>
    <row r="77" spans="1:27" x14ac:dyDescent="0.3">
      <c r="A77">
        <v>76</v>
      </c>
      <c r="B77" t="str">
        <f t="shared" si="7"/>
        <v>174015848573313230</v>
      </c>
      <c r="C77" t="s">
        <v>27</v>
      </c>
      <c r="D77" t="s">
        <v>28</v>
      </c>
      <c r="E77" t="s">
        <v>29</v>
      </c>
      <c r="F77" t="s">
        <v>30</v>
      </c>
      <c r="G77" t="s">
        <v>323</v>
      </c>
      <c r="H77" t="s">
        <v>324</v>
      </c>
      <c r="I77" t="s">
        <v>327</v>
      </c>
      <c r="J77" t="s">
        <v>35</v>
      </c>
      <c r="K77" t="s">
        <v>34</v>
      </c>
      <c r="L77" t="s">
        <v>328</v>
      </c>
      <c r="M77">
        <v>597855</v>
      </c>
      <c r="N77" t="s">
        <v>35</v>
      </c>
      <c r="O77" t="str">
        <f>"Sales Manager"</f>
        <v>Sales Manager</v>
      </c>
      <c r="P77" t="str">
        <f>"Eagle Barricade"</f>
        <v>Eagle Barricade</v>
      </c>
      <c r="Q77" t="str">
        <f>"1-214-687-8497"</f>
        <v>1-214-687-8497</v>
      </c>
      <c r="R77" t="str">
        <f>"2162 Country Ln"</f>
        <v>2162 Country Ln</v>
      </c>
      <c r="S77" t="str">
        <f>"Allen"</f>
        <v>Allen</v>
      </c>
      <c r="T77" t="str">
        <f>"TX"</f>
        <v>TX</v>
      </c>
      <c r="U77" t="str">
        <f>"75069"</f>
        <v>75069</v>
      </c>
      <c r="V77" t="s">
        <v>37</v>
      </c>
      <c r="W77" t="str">
        <f>"AGC Member|RHCA Member"</f>
        <v>AGC Member|RHCA Member</v>
      </c>
      <c r="X77" t="str">
        <f t="shared" si="9"/>
        <v>Yes</v>
      </c>
      <c r="Y77" t="str">
        <f t="shared" si="8"/>
        <v>Yes</v>
      </c>
      <c r="Z77" t="str">
        <f t="shared" si="8"/>
        <v>Yes</v>
      </c>
      <c r="AA77" t="str">
        <f>"6"</f>
        <v>6</v>
      </c>
    </row>
    <row r="78" spans="1:27" x14ac:dyDescent="0.3">
      <c r="A78">
        <v>77</v>
      </c>
      <c r="B78" t="str">
        <f t="shared" si="7"/>
        <v>174015848573313230</v>
      </c>
      <c r="C78" t="s">
        <v>27</v>
      </c>
      <c r="D78" t="s">
        <v>28</v>
      </c>
      <c r="E78" t="s">
        <v>29</v>
      </c>
      <c r="F78" t="s">
        <v>30</v>
      </c>
      <c r="G78" t="s">
        <v>329</v>
      </c>
      <c r="H78" t="s">
        <v>330</v>
      </c>
      <c r="I78" t="s">
        <v>331</v>
      </c>
      <c r="J78" t="s">
        <v>35</v>
      </c>
      <c r="K78" t="s">
        <v>34</v>
      </c>
      <c r="L78" t="s">
        <v>332</v>
      </c>
      <c r="M78">
        <v>377037</v>
      </c>
      <c r="N78" t="s">
        <v>35</v>
      </c>
      <c r="O78" t="str">
        <f>"Sales"</f>
        <v>Sales</v>
      </c>
      <c r="P78" t="str">
        <f>"Champion Fuel Solutions LLC"</f>
        <v>Champion Fuel Solutions LLC</v>
      </c>
      <c r="Q78" t="str">
        <f>"1-9728162596"</f>
        <v>1-9728162596</v>
      </c>
      <c r="R78" t="str">
        <f>"PO Box 210191"</f>
        <v>PO Box 210191</v>
      </c>
      <c r="S78" t="str">
        <f>"Bedford"</f>
        <v>Bedford</v>
      </c>
      <c r="T78" t="str">
        <f>"Texas"</f>
        <v>Texas</v>
      </c>
      <c r="U78" t="str">
        <f>"76095"</f>
        <v>76095</v>
      </c>
      <c r="V78" t="s">
        <v>37</v>
      </c>
      <c r="W78" t="str">
        <f t="shared" ref="W78:W86" si="10">"Guest"</f>
        <v>Guest</v>
      </c>
      <c r="X78" t="str">
        <f t="shared" si="9"/>
        <v>Yes</v>
      </c>
      <c r="Y78" t="str">
        <f>"Yes"</f>
        <v>Yes</v>
      </c>
      <c r="Z78" t="str">
        <f t="shared" ref="Z78:Z84" si="11">"No"</f>
        <v>No</v>
      </c>
      <c r="AA78" t="str">
        <f>"10"</f>
        <v>10</v>
      </c>
    </row>
    <row r="79" spans="1:27" x14ac:dyDescent="0.3">
      <c r="A79">
        <v>78</v>
      </c>
      <c r="B79" t="str">
        <f t="shared" si="7"/>
        <v>174015848573313230</v>
      </c>
      <c r="C79" t="s">
        <v>27</v>
      </c>
      <c r="D79" t="s">
        <v>28</v>
      </c>
      <c r="E79" t="s">
        <v>29</v>
      </c>
      <c r="F79" t="s">
        <v>30</v>
      </c>
      <c r="G79" t="s">
        <v>333</v>
      </c>
      <c r="H79" t="s">
        <v>334</v>
      </c>
      <c r="I79" t="s">
        <v>335</v>
      </c>
      <c r="J79" t="s">
        <v>35</v>
      </c>
      <c r="K79" t="s">
        <v>34</v>
      </c>
      <c r="L79" t="s">
        <v>336</v>
      </c>
      <c r="M79">
        <v>216741</v>
      </c>
      <c r="N79" t="s">
        <v>35</v>
      </c>
      <c r="O79" t="str">
        <f>"CEO"</f>
        <v>CEO</v>
      </c>
      <c r="P79" t="str">
        <f>"Texas National Contractors Association"</f>
        <v>Texas National Contractors Association</v>
      </c>
      <c r="Q79" t="str">
        <f>"1-2142576485"</f>
        <v>1-2142576485</v>
      </c>
      <c r="R79" t="str">
        <f>"444 w commerce st"</f>
        <v>444 w commerce st</v>
      </c>
      <c r="S79" t="str">
        <f>"Dallas"</f>
        <v>Dallas</v>
      </c>
      <c r="T79" t="str">
        <f>"Texas"</f>
        <v>Texas</v>
      </c>
      <c r="U79" t="str">
        <f>"75208"</f>
        <v>75208</v>
      </c>
      <c r="V79" t="s">
        <v>37</v>
      </c>
      <c r="W79" t="str">
        <f t="shared" si="10"/>
        <v>Guest</v>
      </c>
      <c r="X79" t="str">
        <f t="shared" si="9"/>
        <v>Yes</v>
      </c>
      <c r="Y79" t="str">
        <f>"Yes"</f>
        <v>Yes</v>
      </c>
      <c r="Z79" t="str">
        <f t="shared" si="11"/>
        <v>No</v>
      </c>
      <c r="AA79" t="str">
        <f>"8 months"</f>
        <v>8 months</v>
      </c>
    </row>
    <row r="80" spans="1:27" x14ac:dyDescent="0.3">
      <c r="A80">
        <v>79</v>
      </c>
      <c r="B80" t="str">
        <f t="shared" si="7"/>
        <v>174015848573313230</v>
      </c>
      <c r="C80" t="s">
        <v>27</v>
      </c>
      <c r="D80" t="s">
        <v>28</v>
      </c>
      <c r="E80" t="s">
        <v>29</v>
      </c>
      <c r="F80" t="s">
        <v>30</v>
      </c>
      <c r="G80" t="s">
        <v>90</v>
      </c>
      <c r="H80" t="s">
        <v>337</v>
      </c>
      <c r="I80" t="s">
        <v>338</v>
      </c>
      <c r="J80" t="s">
        <v>35</v>
      </c>
      <c r="K80" t="s">
        <v>35</v>
      </c>
      <c r="L80" t="s">
        <v>243</v>
      </c>
      <c r="M80">
        <v>680391</v>
      </c>
      <c r="N80" t="s">
        <v>35</v>
      </c>
      <c r="O80" t="str">
        <f>"President"</f>
        <v>President</v>
      </c>
      <c r="P80" t="str">
        <f>"NextGen Bin Cleaning LLC"</f>
        <v>NextGen Bin Cleaning LLC</v>
      </c>
      <c r="Q80" t="str">
        <f>"1-4695450200"</f>
        <v>1-4695450200</v>
      </c>
      <c r="R80" t="str">
        <f>"7817 Meadow Grove Drive"</f>
        <v>7817 Meadow Grove Drive</v>
      </c>
      <c r="S80" t="str">
        <f>"McKinney"</f>
        <v>McKinney</v>
      </c>
      <c r="T80" t="str">
        <f>"TX"</f>
        <v>TX</v>
      </c>
      <c r="U80" t="str">
        <f>"75071"</f>
        <v>75071</v>
      </c>
      <c r="V80" t="s">
        <v>37</v>
      </c>
      <c r="W80" t="str">
        <f t="shared" si="10"/>
        <v>Guest</v>
      </c>
      <c r="X80" t="str">
        <f t="shared" si="9"/>
        <v>Yes</v>
      </c>
      <c r="Y80" t="str">
        <f>"No"</f>
        <v>No</v>
      </c>
      <c r="Z80" t="str">
        <f t="shared" si="11"/>
        <v>No</v>
      </c>
      <c r="AA80" t="str">
        <f>"2"</f>
        <v>2</v>
      </c>
    </row>
    <row r="81" spans="1:27" x14ac:dyDescent="0.3">
      <c r="A81">
        <v>80</v>
      </c>
      <c r="B81" t="str">
        <f t="shared" si="7"/>
        <v>174015848573313230</v>
      </c>
      <c r="C81" t="s">
        <v>27</v>
      </c>
      <c r="D81" t="s">
        <v>28</v>
      </c>
      <c r="E81" t="s">
        <v>29</v>
      </c>
      <c r="F81" t="s">
        <v>30</v>
      </c>
      <c r="G81" t="s">
        <v>339</v>
      </c>
      <c r="H81" t="s">
        <v>340</v>
      </c>
      <c r="I81" t="s">
        <v>341</v>
      </c>
      <c r="J81" t="s">
        <v>35</v>
      </c>
      <c r="K81" t="s">
        <v>35</v>
      </c>
      <c r="L81" t="s">
        <v>342</v>
      </c>
      <c r="M81">
        <v>756451</v>
      </c>
      <c r="N81" t="s">
        <v>35</v>
      </c>
      <c r="O81" t="str">
        <f>"Owner"</f>
        <v>Owner</v>
      </c>
      <c r="P81" t="str">
        <f>"A Drone’s Eye View, LLC"</f>
        <v>A Drone’s Eye View, LLC</v>
      </c>
      <c r="Q81" t="str">
        <f>"1-512-913-4772"</f>
        <v>1-512-913-4772</v>
      </c>
      <c r="R81" t="str">
        <f>"2303 Vanderbilt Circle"</f>
        <v>2303 Vanderbilt Circle</v>
      </c>
      <c r="S81" t="str">
        <f>"Austin"</f>
        <v>Austin</v>
      </c>
      <c r="T81" t="str">
        <f>"Texas"</f>
        <v>Texas</v>
      </c>
      <c r="U81" t="str">
        <f>"78723"</f>
        <v>78723</v>
      </c>
      <c r="V81" t="s">
        <v>37</v>
      </c>
      <c r="W81" t="str">
        <f t="shared" si="10"/>
        <v>Guest</v>
      </c>
      <c r="X81" t="str">
        <f t="shared" si="9"/>
        <v>Yes</v>
      </c>
      <c r="Y81" t="str">
        <f>"No"</f>
        <v>No</v>
      </c>
      <c r="Z81" t="str">
        <f t="shared" si="11"/>
        <v>No</v>
      </c>
      <c r="AA81" t="str">
        <f>"4"</f>
        <v>4</v>
      </c>
    </row>
    <row r="82" spans="1:27" x14ac:dyDescent="0.3">
      <c r="A82">
        <v>81</v>
      </c>
      <c r="B82" t="str">
        <f t="shared" si="7"/>
        <v>174015848573313230</v>
      </c>
      <c r="C82" t="s">
        <v>27</v>
      </c>
      <c r="D82" t="s">
        <v>28</v>
      </c>
      <c r="E82" t="s">
        <v>29</v>
      </c>
      <c r="F82" t="s">
        <v>30</v>
      </c>
      <c r="G82" t="s">
        <v>125</v>
      </c>
      <c r="H82" t="s">
        <v>343</v>
      </c>
      <c r="I82" t="s">
        <v>344</v>
      </c>
      <c r="J82" t="s">
        <v>35</v>
      </c>
      <c r="K82" t="s">
        <v>35</v>
      </c>
      <c r="L82" t="s">
        <v>345</v>
      </c>
      <c r="M82">
        <v>783205</v>
      </c>
      <c r="N82" t="s">
        <v>35</v>
      </c>
      <c r="O82" t="str">
        <f>"Business Development"</f>
        <v>Business Development</v>
      </c>
      <c r="P82" t="str">
        <f>"AIMS Companies"</f>
        <v>AIMS Companies</v>
      </c>
      <c r="Q82" t="str">
        <f>"1-8176007728"</f>
        <v>1-8176007728</v>
      </c>
      <c r="R82" t="str">
        <f>"1938 Josh Rd"</f>
        <v>1938 Josh Rd</v>
      </c>
      <c r="S82" t="str">
        <f>"Fort Worth"</f>
        <v>Fort Worth</v>
      </c>
      <c r="T82" t="str">
        <f>"TX"</f>
        <v>TX</v>
      </c>
      <c r="U82" t="str">
        <f>"76177"</f>
        <v>76177</v>
      </c>
      <c r="V82" t="s">
        <v>37</v>
      </c>
      <c r="W82" t="str">
        <f t="shared" si="10"/>
        <v>Guest</v>
      </c>
      <c r="X82" t="str">
        <f>"No"</f>
        <v>No</v>
      </c>
      <c r="Y82" t="str">
        <f>"Yes"</f>
        <v>Yes</v>
      </c>
      <c r="Z82" t="str">
        <f t="shared" si="11"/>
        <v>No</v>
      </c>
      <c r="AA82" t="str">
        <f>"20"</f>
        <v>20</v>
      </c>
    </row>
    <row r="83" spans="1:27" x14ac:dyDescent="0.3">
      <c r="A83">
        <v>82</v>
      </c>
      <c r="B83" t="str">
        <f t="shared" si="7"/>
        <v>174015848573313230</v>
      </c>
      <c r="C83" t="s">
        <v>27</v>
      </c>
      <c r="D83" t="s">
        <v>28</v>
      </c>
      <c r="E83" t="s">
        <v>29</v>
      </c>
      <c r="F83" t="s">
        <v>30</v>
      </c>
      <c r="G83" t="s">
        <v>50</v>
      </c>
      <c r="H83" t="s">
        <v>346</v>
      </c>
      <c r="I83" t="s">
        <v>347</v>
      </c>
      <c r="J83" t="s">
        <v>35</v>
      </c>
      <c r="K83" t="s">
        <v>34</v>
      </c>
      <c r="L83" t="s">
        <v>348</v>
      </c>
      <c r="M83">
        <v>291066</v>
      </c>
      <c r="N83" t="s">
        <v>35</v>
      </c>
      <c r="O83" t="str">
        <f>"President / managing member"</f>
        <v>President / managing member</v>
      </c>
      <c r="P83" t="str">
        <f>"Alliance GeoServices, LLC"</f>
        <v>Alliance GeoServices, LLC</v>
      </c>
      <c r="Q83" t="str">
        <f>"1-2149986560"</f>
        <v>1-2149986560</v>
      </c>
      <c r="R83" t="str">
        <f>"3420 Steven Dr"</f>
        <v>3420 Steven Dr</v>
      </c>
      <c r="S83" t="str">
        <f>"Plano"</f>
        <v>Plano</v>
      </c>
      <c r="T83" t="str">
        <f>"TX"</f>
        <v>TX</v>
      </c>
      <c r="U83" t="str">
        <f>"75023"</f>
        <v>75023</v>
      </c>
      <c r="V83" t="s">
        <v>37</v>
      </c>
      <c r="W83" t="str">
        <f t="shared" si="10"/>
        <v>Guest</v>
      </c>
      <c r="X83" t="str">
        <f>"Yes"</f>
        <v>Yes</v>
      </c>
      <c r="Y83" t="str">
        <f>"Yes"</f>
        <v>Yes</v>
      </c>
      <c r="Z83" t="str">
        <f t="shared" si="11"/>
        <v>No</v>
      </c>
      <c r="AA83" t="str">
        <f>"1"</f>
        <v>1</v>
      </c>
    </row>
    <row r="84" spans="1:27" x14ac:dyDescent="0.3">
      <c r="A84">
        <v>83</v>
      </c>
      <c r="B84" t="str">
        <f t="shared" si="7"/>
        <v>174015848573313230</v>
      </c>
      <c r="C84" t="s">
        <v>27</v>
      </c>
      <c r="D84" t="s">
        <v>28</v>
      </c>
      <c r="E84" t="s">
        <v>29</v>
      </c>
      <c r="F84" t="s">
        <v>30</v>
      </c>
      <c r="G84" t="s">
        <v>349</v>
      </c>
      <c r="H84" t="s">
        <v>350</v>
      </c>
      <c r="I84" t="s">
        <v>351</v>
      </c>
      <c r="J84" t="s">
        <v>35</v>
      </c>
      <c r="K84" t="s">
        <v>34</v>
      </c>
      <c r="L84" t="s">
        <v>352</v>
      </c>
      <c r="M84">
        <v>484350</v>
      </c>
      <c r="N84" t="s">
        <v>35</v>
      </c>
      <c r="O84" t="str">
        <f>"president"</f>
        <v>president</v>
      </c>
      <c r="P84" t="str">
        <f>"Kegra Logistics Inc"</f>
        <v>Kegra Logistics Inc</v>
      </c>
      <c r="Q84" t="str">
        <f>"1-6825562137"</f>
        <v>1-6825562137</v>
      </c>
      <c r="R84" t="str">
        <f>"1050 W PIPELINE RD, Suite 200 C"</f>
        <v>1050 W PIPELINE RD, Suite 200 C</v>
      </c>
      <c r="S84" t="str">
        <f>"HURST"</f>
        <v>HURST</v>
      </c>
      <c r="T84" t="str">
        <f>"Texas"</f>
        <v>Texas</v>
      </c>
      <c r="U84" t="str">
        <f>"76053"</f>
        <v>76053</v>
      </c>
      <c r="V84" t="s">
        <v>37</v>
      </c>
      <c r="W84" t="str">
        <f t="shared" si="10"/>
        <v>Guest</v>
      </c>
      <c r="X84" t="str">
        <f>"Yes"</f>
        <v>Yes</v>
      </c>
      <c r="Y84" t="str">
        <f>"No"</f>
        <v>No</v>
      </c>
      <c r="Z84" t="str">
        <f t="shared" si="11"/>
        <v>No</v>
      </c>
      <c r="AA84" t="str">
        <f>"6"</f>
        <v>6</v>
      </c>
    </row>
    <row r="85" spans="1:27" x14ac:dyDescent="0.3">
      <c r="A85">
        <v>84</v>
      </c>
      <c r="B85" t="str">
        <f t="shared" si="7"/>
        <v>174015848573313230</v>
      </c>
      <c r="C85" t="s">
        <v>27</v>
      </c>
      <c r="D85" t="s">
        <v>28</v>
      </c>
      <c r="E85" t="s">
        <v>29</v>
      </c>
      <c r="F85" t="s">
        <v>30</v>
      </c>
      <c r="G85" t="s">
        <v>353</v>
      </c>
      <c r="H85" t="s">
        <v>354</v>
      </c>
      <c r="I85" t="s">
        <v>355</v>
      </c>
      <c r="J85" t="s">
        <v>35</v>
      </c>
      <c r="K85" t="s">
        <v>35</v>
      </c>
      <c r="L85" t="s">
        <v>356</v>
      </c>
      <c r="M85">
        <v>802209</v>
      </c>
      <c r="N85" t="s">
        <v>35</v>
      </c>
      <c r="O85" t="str">
        <f>"Admin"</f>
        <v>Admin</v>
      </c>
      <c r="P85" t="str">
        <f>"O'Trevino"</f>
        <v>O'Trevino</v>
      </c>
      <c r="Q85" t="str">
        <f>"1-817-430-2410"</f>
        <v>1-817-430-2410</v>
      </c>
      <c r="R85" t="str">
        <f>"PO BOX 821909"</f>
        <v>PO BOX 821909</v>
      </c>
      <c r="S85" t="str">
        <f>"North Richland Hills"</f>
        <v>North Richland Hills</v>
      </c>
      <c r="T85" t="str">
        <f>"Texas"</f>
        <v>Texas</v>
      </c>
      <c r="U85" t="str">
        <f>"76182"</f>
        <v>76182</v>
      </c>
      <c r="V85" t="s">
        <v>37</v>
      </c>
      <c r="W85" t="str">
        <f t="shared" si="10"/>
        <v>Guest</v>
      </c>
      <c r="X85" t="str">
        <f>"Yes"</f>
        <v>Yes</v>
      </c>
      <c r="Y85" t="str">
        <f>"Yes"</f>
        <v>Yes</v>
      </c>
      <c r="Z85" t="str">
        <f>"Yes"</f>
        <v>Yes</v>
      </c>
      <c r="AA85" t="str">
        <f>"30"</f>
        <v>30</v>
      </c>
    </row>
    <row r="86" spans="1:27" x14ac:dyDescent="0.3">
      <c r="A86">
        <v>85</v>
      </c>
      <c r="B86" t="str">
        <f t="shared" si="7"/>
        <v>174015848573313230</v>
      </c>
      <c r="C86" t="s">
        <v>27</v>
      </c>
      <c r="D86" t="s">
        <v>28</v>
      </c>
      <c r="E86" t="s">
        <v>29</v>
      </c>
      <c r="F86" t="s">
        <v>30</v>
      </c>
      <c r="G86" t="s">
        <v>357</v>
      </c>
      <c r="H86" t="s">
        <v>358</v>
      </c>
      <c r="I86" t="s">
        <v>359</v>
      </c>
      <c r="J86" t="s">
        <v>35</v>
      </c>
      <c r="K86" t="s">
        <v>35</v>
      </c>
      <c r="L86" t="s">
        <v>360</v>
      </c>
      <c r="M86">
        <v>764986</v>
      </c>
      <c r="N86" t="s">
        <v>35</v>
      </c>
      <c r="O86" t="str">
        <f>"OWNER"</f>
        <v>OWNER</v>
      </c>
      <c r="P86" t="str">
        <f>"Arthur Chell Paint and Building Supplies"</f>
        <v>Arthur Chell Paint and Building Supplies</v>
      </c>
      <c r="Q86" t="str">
        <f>"1-469-556-7266"</f>
        <v>1-469-556-7266</v>
      </c>
      <c r="R86" t="str">
        <f>"378 Birch Lane"</f>
        <v>378 Birch Lane</v>
      </c>
      <c r="S86" t="str">
        <f>"Richardson"</f>
        <v>Richardson</v>
      </c>
      <c r="T86" t="str">
        <f>"Texas"</f>
        <v>Texas</v>
      </c>
      <c r="U86" t="str">
        <f>"75081"</f>
        <v>75081</v>
      </c>
      <c r="V86" t="s">
        <v>37</v>
      </c>
      <c r="W86" t="str">
        <f t="shared" si="10"/>
        <v>Guest</v>
      </c>
      <c r="X86" t="str">
        <f>"Yes"</f>
        <v>Yes</v>
      </c>
      <c r="Y86" t="str">
        <f>"No"</f>
        <v>No</v>
      </c>
      <c r="Z86" t="str">
        <f>"No"</f>
        <v>No</v>
      </c>
      <c r="AA86" t="str">
        <f>"3"</f>
        <v>3</v>
      </c>
    </row>
    <row r="87" spans="1:27" x14ac:dyDescent="0.3">
      <c r="A87">
        <v>86</v>
      </c>
      <c r="B87" t="str">
        <f t="shared" si="7"/>
        <v>174015848573313230</v>
      </c>
      <c r="C87" t="s">
        <v>27</v>
      </c>
      <c r="D87" t="s">
        <v>28</v>
      </c>
      <c r="E87" t="s">
        <v>29</v>
      </c>
      <c r="F87" t="s">
        <v>30</v>
      </c>
      <c r="G87" t="s">
        <v>259</v>
      </c>
      <c r="H87" t="s">
        <v>361</v>
      </c>
      <c r="I87" t="s">
        <v>362</v>
      </c>
      <c r="J87" t="s">
        <v>35</v>
      </c>
      <c r="K87" t="s">
        <v>34</v>
      </c>
      <c r="L87" t="s">
        <v>363</v>
      </c>
      <c r="M87">
        <v>507166</v>
      </c>
      <c r="N87" t="s">
        <v>34</v>
      </c>
      <c r="O87" t="str">
        <f>"Area Manager"</f>
        <v>Area Manager</v>
      </c>
      <c r="P87" t="str">
        <f>"Sundt Construction"</f>
        <v>Sundt Construction</v>
      </c>
      <c r="Q87" t="str">
        <f>"1-2144332532"</f>
        <v>1-2144332532</v>
      </c>
      <c r="R87" t="str">
        <f>"8445 Freeport Parkway, Suite 240"</f>
        <v>8445 Freeport Parkway, Suite 240</v>
      </c>
      <c r="S87" t="str">
        <f>"Irving"</f>
        <v>Irving</v>
      </c>
      <c r="T87" t="str">
        <f>"TX"</f>
        <v>TX</v>
      </c>
      <c r="U87" t="str">
        <f>"75063"</f>
        <v>75063</v>
      </c>
      <c r="V87" t="s">
        <v>37</v>
      </c>
      <c r="W87" t="str">
        <f>"AGC Member"</f>
        <v>AGC Member</v>
      </c>
      <c r="X87" t="str">
        <f>"No"</f>
        <v>No</v>
      </c>
      <c r="Y87" t="str">
        <f>"Yes"</f>
        <v>Yes</v>
      </c>
      <c r="Z87" t="str">
        <f t="shared" ref="Z87:Z92" si="12">"No"</f>
        <v>No</v>
      </c>
      <c r="AA87" t="str">
        <f>"130"</f>
        <v>130</v>
      </c>
    </row>
    <row r="88" spans="1:27" x14ac:dyDescent="0.3">
      <c r="A88">
        <v>87</v>
      </c>
      <c r="B88" t="str">
        <f t="shared" si="7"/>
        <v>174015848573313230</v>
      </c>
      <c r="C88" t="s">
        <v>27</v>
      </c>
      <c r="D88" t="s">
        <v>28</v>
      </c>
      <c r="E88" t="s">
        <v>29</v>
      </c>
      <c r="F88" t="s">
        <v>30</v>
      </c>
      <c r="G88" t="s">
        <v>364</v>
      </c>
      <c r="H88" t="s">
        <v>365</v>
      </c>
      <c r="I88" t="s">
        <v>366</v>
      </c>
      <c r="J88" t="s">
        <v>35</v>
      </c>
      <c r="K88" t="s">
        <v>34</v>
      </c>
      <c r="L88" t="s">
        <v>367</v>
      </c>
      <c r="M88">
        <v>881785</v>
      </c>
      <c r="N88" t="s">
        <v>35</v>
      </c>
      <c r="O88" t="str">
        <f>"Owner"</f>
        <v>Owner</v>
      </c>
      <c r="P88" t="str">
        <f>"J THOMAS II CONSTRUCTION, LLC"</f>
        <v>J THOMAS II CONSTRUCTION, LLC</v>
      </c>
      <c r="Q88" t="str">
        <f>"1-9799222480"</f>
        <v>1-9799222480</v>
      </c>
      <c r="R88" t="str">
        <f>"325 N Hancock St"</f>
        <v>325 N Hancock St</v>
      </c>
      <c r="S88" t="str">
        <f>"Angleton"</f>
        <v>Angleton</v>
      </c>
      <c r="T88" t="str">
        <f>"TX"</f>
        <v>TX</v>
      </c>
      <c r="U88" t="str">
        <f>"77515"</f>
        <v>77515</v>
      </c>
      <c r="V88" t="s">
        <v>37</v>
      </c>
      <c r="W88" t="str">
        <f>"Guest"</f>
        <v>Guest</v>
      </c>
      <c r="X88" t="str">
        <f>"Yes"</f>
        <v>Yes</v>
      </c>
      <c r="Y88" t="str">
        <f>"No"</f>
        <v>No</v>
      </c>
      <c r="Z88" t="str">
        <f t="shared" si="12"/>
        <v>No</v>
      </c>
      <c r="AA88" t="str">
        <f>"5"</f>
        <v>5</v>
      </c>
    </row>
    <row r="89" spans="1:27" x14ac:dyDescent="0.3">
      <c r="A89">
        <v>88</v>
      </c>
      <c r="B89" t="str">
        <f t="shared" si="7"/>
        <v>174015848573313230</v>
      </c>
      <c r="C89" t="s">
        <v>27</v>
      </c>
      <c r="D89" t="s">
        <v>28</v>
      </c>
      <c r="E89" t="s">
        <v>29</v>
      </c>
      <c r="F89" t="s">
        <v>30</v>
      </c>
      <c r="G89" t="s">
        <v>189</v>
      </c>
      <c r="H89" t="s">
        <v>368</v>
      </c>
      <c r="I89" t="s">
        <v>369</v>
      </c>
      <c r="J89" t="s">
        <v>35</v>
      </c>
      <c r="K89" t="s">
        <v>35</v>
      </c>
      <c r="L89" t="s">
        <v>370</v>
      </c>
      <c r="M89">
        <v>447029</v>
      </c>
      <c r="N89" t="s">
        <v>35</v>
      </c>
      <c r="O89" t="str">
        <f>"Owner"</f>
        <v>Owner</v>
      </c>
      <c r="P89" t="str">
        <f>"Seaman Concrete"</f>
        <v>Seaman Concrete</v>
      </c>
      <c r="Q89" t="str">
        <f>"1-2146766233"</f>
        <v>1-2146766233</v>
      </c>
      <c r="R89" t="str">
        <f>"3021 Ridge Road"</f>
        <v>3021 Ridge Road</v>
      </c>
      <c r="S89" t="str">
        <f>"Rockwall"</f>
        <v>Rockwall</v>
      </c>
      <c r="T89" t="str">
        <f>"Texas"</f>
        <v>Texas</v>
      </c>
      <c r="U89" t="str">
        <f>"75032"</f>
        <v>75032</v>
      </c>
      <c r="V89" t="s">
        <v>37</v>
      </c>
      <c r="W89" t="str">
        <f>"Guest"</f>
        <v>Guest</v>
      </c>
      <c r="X89" t="str">
        <f>"Yes"</f>
        <v>Yes</v>
      </c>
      <c r="Y89" t="str">
        <f>"No"</f>
        <v>No</v>
      </c>
      <c r="Z89" t="str">
        <f t="shared" si="12"/>
        <v>No</v>
      </c>
      <c r="AA89" t="str">
        <f>"8"</f>
        <v>8</v>
      </c>
    </row>
    <row r="90" spans="1:27" x14ac:dyDescent="0.3">
      <c r="A90">
        <v>89</v>
      </c>
      <c r="B90" t="str">
        <f t="shared" si="7"/>
        <v>174015848573313230</v>
      </c>
      <c r="C90" t="s">
        <v>27</v>
      </c>
      <c r="D90" t="s">
        <v>28</v>
      </c>
      <c r="E90" t="s">
        <v>29</v>
      </c>
      <c r="F90" t="s">
        <v>30</v>
      </c>
      <c r="G90" t="s">
        <v>371</v>
      </c>
      <c r="H90" t="s">
        <v>372</v>
      </c>
      <c r="I90" t="s">
        <v>373</v>
      </c>
      <c r="J90" t="s">
        <v>35</v>
      </c>
      <c r="K90" t="s">
        <v>35</v>
      </c>
      <c r="L90" t="s">
        <v>374</v>
      </c>
      <c r="M90">
        <v>419490</v>
      </c>
      <c r="N90" t="s">
        <v>35</v>
      </c>
      <c r="O90" t="str">
        <f>"VP, Diversity, Inclusion &amp; Business Engagement"</f>
        <v>VP, Diversity, Inclusion &amp; Business Engagement</v>
      </c>
      <c r="P90" t="str">
        <f>"81 Logistics Group, LLC"</f>
        <v>81 Logistics Group, LLC</v>
      </c>
      <c r="Q90" t="str">
        <f>"1-2144773992"</f>
        <v>1-2144773992</v>
      </c>
      <c r="R90" t="str">
        <f>"1340 Thistlewood Dr.,"</f>
        <v>1340 Thistlewood Dr.,</v>
      </c>
      <c r="S90" t="str">
        <f>"DeSoto"</f>
        <v>DeSoto</v>
      </c>
      <c r="T90" t="str">
        <f>"Texas"</f>
        <v>Texas</v>
      </c>
      <c r="U90" t="str">
        <f>"75115"</f>
        <v>75115</v>
      </c>
      <c r="V90" t="s">
        <v>37</v>
      </c>
      <c r="W90" t="str">
        <f>"Guest"</f>
        <v>Guest</v>
      </c>
      <c r="X90" t="str">
        <f>"Yes"</f>
        <v>Yes</v>
      </c>
      <c r="Y90" t="str">
        <f>"No"</f>
        <v>No</v>
      </c>
      <c r="Z90" t="str">
        <f t="shared" si="12"/>
        <v>No</v>
      </c>
      <c r="AA90" t="str">
        <f>"3"</f>
        <v>3</v>
      </c>
    </row>
    <row r="91" spans="1:27" x14ac:dyDescent="0.3">
      <c r="A91">
        <v>90</v>
      </c>
      <c r="B91" t="str">
        <f t="shared" si="7"/>
        <v>174015848573313230</v>
      </c>
      <c r="C91" t="s">
        <v>27</v>
      </c>
      <c r="D91" t="s">
        <v>28</v>
      </c>
      <c r="E91" t="s">
        <v>29</v>
      </c>
      <c r="F91" t="s">
        <v>30</v>
      </c>
      <c r="G91" t="s">
        <v>375</v>
      </c>
      <c r="H91" t="s">
        <v>376</v>
      </c>
      <c r="I91" t="s">
        <v>377</v>
      </c>
      <c r="J91" t="s">
        <v>35</v>
      </c>
      <c r="K91" t="s">
        <v>34</v>
      </c>
      <c r="L91" t="s">
        <v>378</v>
      </c>
      <c r="M91">
        <v>647075</v>
      </c>
      <c r="N91" t="s">
        <v>34</v>
      </c>
      <c r="O91" t="str">
        <f>"Compliance Analyst"</f>
        <v>Compliance Analyst</v>
      </c>
      <c r="P91" t="str">
        <f>"NTTA"</f>
        <v>NTTA</v>
      </c>
      <c r="Q91" t="str">
        <f>"1-214 224 2182"</f>
        <v>1-214 224 2182</v>
      </c>
      <c r="R91" t="str">
        <f>"5900 West Plano Parkway"</f>
        <v>5900 West Plano Parkway</v>
      </c>
      <c r="S91" t="str">
        <f>"Plano"</f>
        <v>Plano</v>
      </c>
      <c r="T91" t="str">
        <f>"Texas"</f>
        <v>Texas</v>
      </c>
      <c r="U91" t="str">
        <f>"75093"</f>
        <v>75093</v>
      </c>
      <c r="V91" t="s">
        <v>37</v>
      </c>
      <c r="W91" t="str">
        <f>"AACATX Member|AGC Member|RHCA Member|Guest"</f>
        <v>AACATX Member|AGC Member|RHCA Member|Guest</v>
      </c>
      <c r="X91" t="str">
        <f>"No"</f>
        <v>No</v>
      </c>
      <c r="Y91" t="str">
        <f>"No"</f>
        <v>No</v>
      </c>
      <c r="Z91" t="str">
        <f t="shared" si="12"/>
        <v>No</v>
      </c>
      <c r="AA91" t="str">
        <f>"20"</f>
        <v>20</v>
      </c>
    </row>
    <row r="92" spans="1:27" x14ac:dyDescent="0.3">
      <c r="A92">
        <v>91</v>
      </c>
      <c r="B92" t="str">
        <f t="shared" si="7"/>
        <v>174015848573313230</v>
      </c>
      <c r="C92" t="s">
        <v>27</v>
      </c>
      <c r="D92" t="s">
        <v>28</v>
      </c>
      <c r="E92" t="s">
        <v>29</v>
      </c>
      <c r="F92" t="s">
        <v>30</v>
      </c>
      <c r="G92" t="s">
        <v>379</v>
      </c>
      <c r="H92" t="s">
        <v>380</v>
      </c>
      <c r="I92" t="s">
        <v>381</v>
      </c>
      <c r="J92" t="s">
        <v>35</v>
      </c>
      <c r="K92" t="s">
        <v>34</v>
      </c>
      <c r="L92" t="s">
        <v>382</v>
      </c>
      <c r="M92">
        <v>643707</v>
      </c>
      <c r="N92" t="s">
        <v>35</v>
      </c>
      <c r="O92" t="str">
        <f>"President"</f>
        <v>President</v>
      </c>
      <c r="P92" t="str">
        <f>"Geotechnical Solutions"</f>
        <v>Geotechnical Solutions</v>
      </c>
      <c r="Q92" t="str">
        <f>"1-8179656878"</f>
        <v>1-8179656878</v>
      </c>
      <c r="R92" t="str">
        <f>"913 Keller Smithfield Road South"</f>
        <v>913 Keller Smithfield Road South</v>
      </c>
      <c r="S92" t="str">
        <f>"Keller"</f>
        <v>Keller</v>
      </c>
      <c r="T92" t="str">
        <f>"TX"</f>
        <v>TX</v>
      </c>
      <c r="U92" t="str">
        <f>"76248"</f>
        <v>76248</v>
      </c>
      <c r="V92" t="s">
        <v>37</v>
      </c>
      <c r="W92" t="str">
        <f t="shared" ref="W92:W97" si="13">"Guest"</f>
        <v>Guest</v>
      </c>
      <c r="X92" t="str">
        <f>"No"</f>
        <v>No</v>
      </c>
      <c r="Y92" t="str">
        <f>"No"</f>
        <v>No</v>
      </c>
      <c r="Z92" t="str">
        <f t="shared" si="12"/>
        <v>No</v>
      </c>
      <c r="AA92" t="str">
        <f>"3"</f>
        <v>3</v>
      </c>
    </row>
    <row r="93" spans="1:27" x14ac:dyDescent="0.3">
      <c r="A93">
        <v>92</v>
      </c>
      <c r="B93" t="str">
        <f t="shared" si="7"/>
        <v>174015848573313230</v>
      </c>
      <c r="C93" t="s">
        <v>27</v>
      </c>
      <c r="D93" t="s">
        <v>28</v>
      </c>
      <c r="E93" t="s">
        <v>29</v>
      </c>
      <c r="F93" t="s">
        <v>30</v>
      </c>
      <c r="G93" t="s">
        <v>383</v>
      </c>
      <c r="H93" t="s">
        <v>384</v>
      </c>
      <c r="I93" t="s">
        <v>385</v>
      </c>
      <c r="J93" t="s">
        <v>35</v>
      </c>
      <c r="K93" t="s">
        <v>35</v>
      </c>
      <c r="L93" t="s">
        <v>386</v>
      </c>
      <c r="M93">
        <v>149444</v>
      </c>
      <c r="N93" t="s">
        <v>35</v>
      </c>
      <c r="O93" t="str">
        <f>"Estimator"</f>
        <v>Estimator</v>
      </c>
      <c r="P93" t="str">
        <f>"QMF Steel"</f>
        <v>QMF Steel</v>
      </c>
      <c r="Q93" t="str">
        <f>"1-903-455-3618"</f>
        <v>1-903-455-3618</v>
      </c>
      <c r="R93" t="str">
        <f>"3846 E IH 30"</f>
        <v>3846 E IH 30</v>
      </c>
      <c r="S93" t="str">
        <f>"Campbell"</f>
        <v>Campbell</v>
      </c>
      <c r="T93" t="str">
        <f>"Texas"</f>
        <v>Texas</v>
      </c>
      <c r="U93" t="str">
        <f>"75422"</f>
        <v>75422</v>
      </c>
      <c r="V93" t="s">
        <v>37</v>
      </c>
      <c r="W93" t="str">
        <f t="shared" si="13"/>
        <v>Guest</v>
      </c>
      <c r="X93" t="str">
        <f>"Yes"</f>
        <v>Yes</v>
      </c>
      <c r="Y93" t="str">
        <f>"Yes"</f>
        <v>Yes</v>
      </c>
      <c r="Z93" t="str">
        <f>"Yes"</f>
        <v>Yes</v>
      </c>
      <c r="AA93" t="str">
        <f>"24"</f>
        <v>24</v>
      </c>
    </row>
    <row r="94" spans="1:27" x14ac:dyDescent="0.3">
      <c r="A94">
        <v>93</v>
      </c>
      <c r="B94" t="str">
        <f t="shared" si="7"/>
        <v>174015848573313230</v>
      </c>
      <c r="C94" t="s">
        <v>27</v>
      </c>
      <c r="D94" t="s">
        <v>28</v>
      </c>
      <c r="E94" t="s">
        <v>29</v>
      </c>
      <c r="F94" t="s">
        <v>30</v>
      </c>
      <c r="G94" t="s">
        <v>387</v>
      </c>
      <c r="H94" t="s">
        <v>388</v>
      </c>
      <c r="I94" t="s">
        <v>389</v>
      </c>
      <c r="J94" t="s">
        <v>35</v>
      </c>
      <c r="K94" t="s">
        <v>34</v>
      </c>
      <c r="L94" t="s">
        <v>390</v>
      </c>
      <c r="M94">
        <v>917863</v>
      </c>
      <c r="N94" t="s">
        <v>35</v>
      </c>
      <c r="O94" t="str">
        <f>"CEO"</f>
        <v>CEO</v>
      </c>
      <c r="P94" t="str">
        <f>"Annapurnasolutions LLC"</f>
        <v>Annapurnasolutions LLC</v>
      </c>
      <c r="Q94" t="str">
        <f>"1-9169053144"</f>
        <v>1-9169053144</v>
      </c>
      <c r="R94" t="str">
        <f>"5000 gulf freeway"</f>
        <v>5000 gulf freeway</v>
      </c>
      <c r="S94" t="str">
        <f>"Houston"</f>
        <v>Houston</v>
      </c>
      <c r="T94" t="str">
        <f>"TX"</f>
        <v>TX</v>
      </c>
      <c r="U94" t="str">
        <f>"77023"</f>
        <v>77023</v>
      </c>
      <c r="V94" t="s">
        <v>37</v>
      </c>
      <c r="W94" t="str">
        <f t="shared" si="13"/>
        <v>Guest</v>
      </c>
      <c r="X94" t="str">
        <f>"Yes"</f>
        <v>Yes</v>
      </c>
      <c r="Y94" t="str">
        <f>"No"</f>
        <v>No</v>
      </c>
      <c r="Z94" t="str">
        <f>"No"</f>
        <v>No</v>
      </c>
      <c r="AA94" t="str">
        <f>"2"</f>
        <v>2</v>
      </c>
    </row>
    <row r="95" spans="1:27" x14ac:dyDescent="0.3">
      <c r="A95">
        <v>94</v>
      </c>
      <c r="B95" t="str">
        <f t="shared" si="7"/>
        <v>174015848573313230</v>
      </c>
      <c r="C95" t="s">
        <v>27</v>
      </c>
      <c r="D95" t="s">
        <v>28</v>
      </c>
      <c r="E95" t="s">
        <v>29</v>
      </c>
      <c r="F95" t="s">
        <v>30</v>
      </c>
      <c r="G95" t="s">
        <v>204</v>
      </c>
      <c r="H95" t="s">
        <v>391</v>
      </c>
      <c r="I95" t="s">
        <v>392</v>
      </c>
      <c r="J95" t="s">
        <v>35</v>
      </c>
      <c r="K95" t="s">
        <v>35</v>
      </c>
      <c r="L95" t="s">
        <v>393</v>
      </c>
      <c r="M95">
        <v>852058</v>
      </c>
      <c r="N95" t="s">
        <v>35</v>
      </c>
      <c r="O95" t="str">
        <f>"Director of Transportation"</f>
        <v>Director of Transportation</v>
      </c>
      <c r="P95" t="str">
        <f>"ReStl Engineers TX, LLC"</f>
        <v>ReStl Engineers TX, LLC</v>
      </c>
      <c r="Q95" t="str">
        <f>"1-9722739019"</f>
        <v>1-9722739019</v>
      </c>
      <c r="R95" t="str">
        <f>"2705 Swiss Ave."</f>
        <v>2705 Swiss Ave.</v>
      </c>
      <c r="S95" t="str">
        <f>"Dallas"</f>
        <v>Dallas</v>
      </c>
      <c r="T95" t="str">
        <f>"TX"</f>
        <v>TX</v>
      </c>
      <c r="U95" t="str">
        <f>"75204"</f>
        <v>75204</v>
      </c>
      <c r="V95" t="s">
        <v>37</v>
      </c>
      <c r="W95" t="str">
        <f t="shared" si="13"/>
        <v>Guest</v>
      </c>
      <c r="X95" t="str">
        <f>"Yes"</f>
        <v>Yes</v>
      </c>
      <c r="Y95" t="str">
        <f>"Yes"</f>
        <v>Yes</v>
      </c>
      <c r="Z95" t="str">
        <f>"Yes"</f>
        <v>Yes</v>
      </c>
      <c r="AA95" t="str">
        <f>"5.75"</f>
        <v>5.75</v>
      </c>
    </row>
    <row r="96" spans="1:27" x14ac:dyDescent="0.3">
      <c r="A96">
        <v>95</v>
      </c>
      <c r="B96" t="str">
        <f t="shared" si="7"/>
        <v>174015848573313230</v>
      </c>
      <c r="C96" t="s">
        <v>27</v>
      </c>
      <c r="D96" t="s">
        <v>28</v>
      </c>
      <c r="E96" t="s">
        <v>29</v>
      </c>
      <c r="F96" t="s">
        <v>30</v>
      </c>
      <c r="G96" t="s">
        <v>394</v>
      </c>
      <c r="H96" t="s">
        <v>395</v>
      </c>
      <c r="I96" t="s">
        <v>396</v>
      </c>
      <c r="J96" t="s">
        <v>35</v>
      </c>
      <c r="K96" t="s">
        <v>34</v>
      </c>
      <c r="L96" t="s">
        <v>397</v>
      </c>
      <c r="M96">
        <v>402056</v>
      </c>
      <c r="N96" t="s">
        <v>35</v>
      </c>
      <c r="O96" t="str">
        <f>"Managing Owner"</f>
        <v>Managing Owner</v>
      </c>
      <c r="P96" t="str">
        <f>"HVJ Associates"</f>
        <v>HVJ Associates</v>
      </c>
      <c r="Q96" t="str">
        <f>"1-8328039700"</f>
        <v>1-8328039700</v>
      </c>
      <c r="R96" t="str">
        <f>"8701 John Carpenter Fwy. Suite 250"</f>
        <v>8701 John Carpenter Fwy. Suite 250</v>
      </c>
      <c r="S96" t="str">
        <f>"Dallas"</f>
        <v>Dallas</v>
      </c>
      <c r="T96" t="str">
        <f>"TX - Texas"</f>
        <v>TX - Texas</v>
      </c>
      <c r="U96" t="str">
        <f>"75247"</f>
        <v>75247</v>
      </c>
      <c r="V96" t="s">
        <v>37</v>
      </c>
      <c r="W96" t="str">
        <f t="shared" si="13"/>
        <v>Guest</v>
      </c>
      <c r="X96" t="str">
        <f>"Yes"</f>
        <v>Yes</v>
      </c>
      <c r="Y96" t="str">
        <f>"Yes"</f>
        <v>Yes</v>
      </c>
      <c r="Z96" t="str">
        <f>"Yes"</f>
        <v>Yes</v>
      </c>
      <c r="AA96" t="str">
        <f>"4"</f>
        <v>4</v>
      </c>
    </row>
    <row r="97" spans="1:27" x14ac:dyDescent="0.3">
      <c r="A97">
        <v>96</v>
      </c>
      <c r="B97" t="str">
        <f t="shared" si="7"/>
        <v>174015848573313230</v>
      </c>
      <c r="C97" t="s">
        <v>27</v>
      </c>
      <c r="D97" t="s">
        <v>28</v>
      </c>
      <c r="E97" t="s">
        <v>29</v>
      </c>
      <c r="F97" t="s">
        <v>30</v>
      </c>
      <c r="G97" t="s">
        <v>398</v>
      </c>
      <c r="H97" t="s">
        <v>399</v>
      </c>
      <c r="I97" t="s">
        <v>400</v>
      </c>
      <c r="J97" t="s">
        <v>35</v>
      </c>
      <c r="K97" t="s">
        <v>34</v>
      </c>
      <c r="L97" t="s">
        <v>401</v>
      </c>
      <c r="M97">
        <v>513878</v>
      </c>
      <c r="N97" t="s">
        <v>35</v>
      </c>
      <c r="O97" t="str">
        <f>"Diversity Manager"</f>
        <v>Diversity Manager</v>
      </c>
      <c r="P97" t="str">
        <f>"Kiewit"</f>
        <v>Kiewit</v>
      </c>
      <c r="Q97" t="str">
        <f>"1-816-225-0425"</f>
        <v>1-816-225-0425</v>
      </c>
      <c r="R97" t="str">
        <f>"3455 Evening Pl"</f>
        <v>3455 Evening Pl</v>
      </c>
      <c r="S97" t="str">
        <f>"Castle Rock"</f>
        <v>Castle Rock</v>
      </c>
      <c r="T97" t="str">
        <f>"CO"</f>
        <v>CO</v>
      </c>
      <c r="U97" t="str">
        <f>"80109"</f>
        <v>80109</v>
      </c>
      <c r="V97" t="s">
        <v>37</v>
      </c>
      <c r="W97" t="str">
        <f t="shared" si="13"/>
        <v>Guest</v>
      </c>
      <c r="X97" t="str">
        <f>"No"</f>
        <v>No</v>
      </c>
      <c r="Y97" t="str">
        <f>"Yes"</f>
        <v>Yes</v>
      </c>
      <c r="Z97" t="str">
        <f>"No"</f>
        <v>No</v>
      </c>
      <c r="AA97" t="str">
        <f>"125 years"</f>
        <v>125 years</v>
      </c>
    </row>
    <row r="98" spans="1:27" x14ac:dyDescent="0.3">
      <c r="A98">
        <v>97</v>
      </c>
      <c r="B98" t="str">
        <f t="shared" ref="B98:B129" si="14">"174015848573313230"</f>
        <v>174015848573313230</v>
      </c>
      <c r="C98" t="s">
        <v>27</v>
      </c>
      <c r="D98" t="s">
        <v>28</v>
      </c>
      <c r="E98" t="s">
        <v>29</v>
      </c>
      <c r="F98" t="s">
        <v>30</v>
      </c>
      <c r="G98" t="s">
        <v>402</v>
      </c>
      <c r="H98" t="s">
        <v>403</v>
      </c>
      <c r="I98" t="s">
        <v>404</v>
      </c>
      <c r="J98" t="s">
        <v>35</v>
      </c>
      <c r="K98" t="s">
        <v>34</v>
      </c>
      <c r="L98" t="s">
        <v>405</v>
      </c>
      <c r="M98">
        <v>441918</v>
      </c>
      <c r="N98" t="s">
        <v>35</v>
      </c>
      <c r="O98" t="str">
        <f>"Manager"</f>
        <v>Manager</v>
      </c>
      <c r="P98" t="str">
        <f>"Downing Erosion Control"</f>
        <v>Downing Erosion Control</v>
      </c>
      <c r="Q98" t="str">
        <f>"1-19567205782"</f>
        <v>1-19567205782</v>
      </c>
      <c r="R98" t="str">
        <f>"15976 n. Mile 2west"</f>
        <v>15976 n. Mile 2west</v>
      </c>
      <c r="S98" t="str">
        <f>"Mercedes"</f>
        <v>Mercedes</v>
      </c>
      <c r="T98" t="str">
        <f>"Texas"</f>
        <v>Texas</v>
      </c>
      <c r="U98" t="str">
        <f>"78570"</f>
        <v>78570</v>
      </c>
      <c r="V98" t="s">
        <v>37</v>
      </c>
      <c r="W98" t="str">
        <f>"AACATX Member|AGC Member|RHCA Member|Guest"</f>
        <v>AACATX Member|AGC Member|RHCA Member|Guest</v>
      </c>
      <c r="X98" t="str">
        <f>"Yes"</f>
        <v>Yes</v>
      </c>
      <c r="Y98" t="str">
        <f>"Yes"</f>
        <v>Yes</v>
      </c>
      <c r="Z98" t="str">
        <f>"Yes"</f>
        <v>Yes</v>
      </c>
      <c r="AA98" t="str">
        <f>"15"</f>
        <v>15</v>
      </c>
    </row>
    <row r="99" spans="1:27" x14ac:dyDescent="0.3">
      <c r="A99">
        <v>98</v>
      </c>
      <c r="B99" t="str">
        <f t="shared" si="14"/>
        <v>174015848573313230</v>
      </c>
      <c r="C99" t="s">
        <v>27</v>
      </c>
      <c r="D99" t="s">
        <v>28</v>
      </c>
      <c r="E99" t="s">
        <v>29</v>
      </c>
      <c r="F99" t="s">
        <v>30</v>
      </c>
      <c r="G99" t="s">
        <v>406</v>
      </c>
      <c r="H99" t="s">
        <v>407</v>
      </c>
      <c r="I99" t="s">
        <v>407</v>
      </c>
      <c r="J99" t="s">
        <v>35</v>
      </c>
      <c r="K99" t="s">
        <v>34</v>
      </c>
      <c r="L99" t="s">
        <v>408</v>
      </c>
      <c r="M99">
        <v>160932</v>
      </c>
      <c r="N99" t="s">
        <v>35</v>
      </c>
      <c r="O99" t="str">
        <f>"Owner"</f>
        <v>Owner</v>
      </c>
      <c r="P99" t="str">
        <f>"T-n-G’s Construction LLC"</f>
        <v>T-n-G’s Construction LLC</v>
      </c>
      <c r="Q99" t="str">
        <f>"1-512-820-0246"</f>
        <v>1-512-820-0246</v>
      </c>
      <c r="R99" t="str">
        <f>"300 Blossom Valley Stream"</f>
        <v>300 Blossom Valley Stream</v>
      </c>
      <c r="S99" t="str">
        <f>"Buda,"</f>
        <v>Buda,</v>
      </c>
      <c r="T99" t="str">
        <f>"Texas"</f>
        <v>Texas</v>
      </c>
      <c r="U99" t="str">
        <f>"78610"</f>
        <v>78610</v>
      </c>
      <c r="V99" t="s">
        <v>37</v>
      </c>
      <c r="W99" t="str">
        <f>"AACATX Member|AGC Member|RHCA Member|Guest"</f>
        <v>AACATX Member|AGC Member|RHCA Member|Guest</v>
      </c>
      <c r="X99" t="str">
        <f>"Yes|No"</f>
        <v>Yes|No</v>
      </c>
      <c r="Y99" t="str">
        <f>"No"</f>
        <v>No</v>
      </c>
      <c r="Z99" t="str">
        <f>"Yes|No"</f>
        <v>Yes|No</v>
      </c>
      <c r="AA99" t="str">
        <f>"20 years"</f>
        <v>20 years</v>
      </c>
    </row>
    <row r="100" spans="1:27" x14ac:dyDescent="0.3">
      <c r="A100">
        <v>99</v>
      </c>
      <c r="B100" t="str">
        <f t="shared" si="14"/>
        <v>174015848573313230</v>
      </c>
      <c r="C100" t="s">
        <v>27</v>
      </c>
      <c r="D100" t="s">
        <v>28</v>
      </c>
      <c r="E100" t="s">
        <v>29</v>
      </c>
      <c r="F100" t="s">
        <v>30</v>
      </c>
      <c r="G100" t="s">
        <v>409</v>
      </c>
      <c r="H100" t="s">
        <v>410</v>
      </c>
      <c r="I100" t="s">
        <v>411</v>
      </c>
      <c r="J100" t="s">
        <v>35</v>
      </c>
      <c r="K100" t="s">
        <v>34</v>
      </c>
      <c r="L100" t="s">
        <v>412</v>
      </c>
      <c r="M100">
        <v>422623</v>
      </c>
      <c r="N100" t="s">
        <v>35</v>
      </c>
      <c r="O100" t="str">
        <f>"PM"</f>
        <v>PM</v>
      </c>
      <c r="P100" t="str">
        <f>"Arias"</f>
        <v>Arias</v>
      </c>
      <c r="Q100" t="str">
        <f>"1-8082213776"</f>
        <v>1-8082213776</v>
      </c>
      <c r="R100" t="str">
        <f>"1213 Corporate Dr W,, Suite B-1"</f>
        <v>1213 Corporate Dr W,, Suite B-1</v>
      </c>
      <c r="S100" t="str">
        <f>"Arlington"</f>
        <v>Arlington</v>
      </c>
      <c r="T100" t="str">
        <f>"TX"</f>
        <v>TX</v>
      </c>
      <c r="U100" t="str">
        <f>"76006"</f>
        <v>76006</v>
      </c>
      <c r="V100" t="s">
        <v>37</v>
      </c>
      <c r="W100" t="str">
        <f>"Guest"</f>
        <v>Guest</v>
      </c>
      <c r="X100" t="str">
        <f t="shared" ref="X100:Z102" si="15">"Yes"</f>
        <v>Yes</v>
      </c>
      <c r="Y100" t="str">
        <f t="shared" si="15"/>
        <v>Yes</v>
      </c>
      <c r="Z100" t="str">
        <f t="shared" si="15"/>
        <v>Yes</v>
      </c>
      <c r="AA100" t="str">
        <f>"24"</f>
        <v>24</v>
      </c>
    </row>
    <row r="101" spans="1:27" x14ac:dyDescent="0.3">
      <c r="A101">
        <v>100</v>
      </c>
      <c r="B101" t="str">
        <f t="shared" si="14"/>
        <v>174015848573313230</v>
      </c>
      <c r="C101" t="s">
        <v>27</v>
      </c>
      <c r="D101" t="s">
        <v>28</v>
      </c>
      <c r="E101" t="s">
        <v>29</v>
      </c>
      <c r="F101" t="s">
        <v>30</v>
      </c>
      <c r="G101" t="s">
        <v>413</v>
      </c>
      <c r="H101" t="s">
        <v>414</v>
      </c>
      <c r="I101" t="s">
        <v>415</v>
      </c>
      <c r="J101" t="s">
        <v>35</v>
      </c>
      <c r="K101" t="s">
        <v>34</v>
      </c>
      <c r="L101" t="s">
        <v>416</v>
      </c>
      <c r="M101">
        <v>677113</v>
      </c>
      <c r="N101" t="s">
        <v>35</v>
      </c>
      <c r="O101" t="str">
        <f>"HR/Safety Director"</f>
        <v>HR/Safety Director</v>
      </c>
      <c r="P101" t="str">
        <f>"Universal Fence Copmany, Inc."</f>
        <v>Universal Fence Copmany, Inc.</v>
      </c>
      <c r="Q101" t="str">
        <f>"1-2144921005"</f>
        <v>1-2144921005</v>
      </c>
      <c r="R101" t="str">
        <f>"1137  Hurst Blvd, 0000"</f>
        <v>1137  Hurst Blvd, 0000</v>
      </c>
      <c r="S101" t="str">
        <f>"Hurst"</f>
        <v>Hurst</v>
      </c>
      <c r="T101" t="str">
        <f>"TX"</f>
        <v>TX</v>
      </c>
      <c r="U101" t="str">
        <f>"76053"</f>
        <v>76053</v>
      </c>
      <c r="V101" t="s">
        <v>37</v>
      </c>
      <c r="W101" t="str">
        <f>"Guest"</f>
        <v>Guest</v>
      </c>
      <c r="X101" t="str">
        <f t="shared" si="15"/>
        <v>Yes</v>
      </c>
      <c r="Y101" t="str">
        <f t="shared" si="15"/>
        <v>Yes</v>
      </c>
      <c r="Z101" t="str">
        <f t="shared" si="15"/>
        <v>Yes</v>
      </c>
      <c r="AA101" t="str">
        <f>"16"</f>
        <v>16</v>
      </c>
    </row>
    <row r="102" spans="1:27" x14ac:dyDescent="0.3">
      <c r="A102">
        <v>101</v>
      </c>
      <c r="B102" t="str">
        <f t="shared" si="14"/>
        <v>174015848573313230</v>
      </c>
      <c r="C102" t="s">
        <v>27</v>
      </c>
      <c r="D102" t="s">
        <v>28</v>
      </c>
      <c r="E102" t="s">
        <v>29</v>
      </c>
      <c r="F102" t="s">
        <v>30</v>
      </c>
      <c r="G102" t="s">
        <v>417</v>
      </c>
      <c r="H102" t="s">
        <v>418</v>
      </c>
      <c r="I102" t="s">
        <v>419</v>
      </c>
      <c r="J102" t="s">
        <v>35</v>
      </c>
      <c r="K102" t="s">
        <v>35</v>
      </c>
      <c r="L102" t="s">
        <v>420</v>
      </c>
      <c r="M102">
        <v>482886</v>
      </c>
      <c r="N102" t="s">
        <v>34</v>
      </c>
      <c r="O102" t="str">
        <f>"Safety/HR"</f>
        <v>Safety/HR</v>
      </c>
      <c r="P102" t="str">
        <f>"O. Trevino Construction"</f>
        <v>O. Trevino Construction</v>
      </c>
      <c r="Q102" t="str">
        <f>"1-8172910059"</f>
        <v>1-8172910059</v>
      </c>
      <c r="R102" t="str">
        <f>"PO Box 821909"</f>
        <v>PO Box 821909</v>
      </c>
      <c r="S102" t="str">
        <f>"N RICHLAND HI"</f>
        <v>N RICHLAND HI</v>
      </c>
      <c r="T102" t="str">
        <f>"Texas"</f>
        <v>Texas</v>
      </c>
      <c r="U102" t="str">
        <f>"76182"</f>
        <v>76182</v>
      </c>
      <c r="V102" t="s">
        <v>37</v>
      </c>
      <c r="W102" t="str">
        <f>"Guest"</f>
        <v>Guest</v>
      </c>
      <c r="X102" t="str">
        <f t="shared" si="15"/>
        <v>Yes</v>
      </c>
      <c r="Y102" t="str">
        <f t="shared" si="15"/>
        <v>Yes</v>
      </c>
      <c r="Z102" t="str">
        <f t="shared" si="15"/>
        <v>Yes</v>
      </c>
      <c r="AA102" t="str">
        <f>"33"</f>
        <v>33</v>
      </c>
    </row>
    <row r="103" spans="1:27" x14ac:dyDescent="0.3">
      <c r="A103">
        <v>102</v>
      </c>
      <c r="B103" t="str">
        <f t="shared" si="14"/>
        <v>174015848573313230</v>
      </c>
      <c r="C103" t="s">
        <v>27</v>
      </c>
      <c r="D103" t="s">
        <v>28</v>
      </c>
      <c r="E103" t="s">
        <v>29</v>
      </c>
      <c r="F103" t="s">
        <v>30</v>
      </c>
      <c r="G103" t="s">
        <v>421</v>
      </c>
      <c r="H103" t="s">
        <v>422</v>
      </c>
      <c r="I103" t="s">
        <v>423</v>
      </c>
      <c r="J103" t="s">
        <v>35</v>
      </c>
      <c r="K103" t="s">
        <v>35</v>
      </c>
      <c r="L103" t="s">
        <v>424</v>
      </c>
      <c r="M103">
        <v>891670</v>
      </c>
      <c r="N103" t="s">
        <v>35</v>
      </c>
      <c r="O103" t="str">
        <f>"President"</f>
        <v>President</v>
      </c>
      <c r="P103" t="str">
        <f>"LYDIA PAINTING COMPANY LLC"</f>
        <v>LYDIA PAINTING COMPANY LLC</v>
      </c>
      <c r="Q103" t="str">
        <f>"1-2168554785"</f>
        <v>1-2168554785</v>
      </c>
      <c r="R103" t="str">
        <f>"11700 LUNA ROAD, APT 13205"</f>
        <v>11700 LUNA ROAD, APT 13205</v>
      </c>
      <c r="S103" t="str">
        <f>"FARMERS BRNCH"</f>
        <v>FARMERS BRNCH</v>
      </c>
      <c r="T103" t="str">
        <f>"TX"</f>
        <v>TX</v>
      </c>
      <c r="U103" t="str">
        <f>"75234"</f>
        <v>75234</v>
      </c>
      <c r="V103" t="s">
        <v>37</v>
      </c>
      <c r="W103" t="str">
        <f>"AACATX Member|AGC Member|RHCA Member|Guest"</f>
        <v>AACATX Member|AGC Member|RHCA Member|Guest</v>
      </c>
      <c r="X103" t="str">
        <f>"Yes|No"</f>
        <v>Yes|No</v>
      </c>
      <c r="Y103" t="str">
        <f>"Yes|No"</f>
        <v>Yes|No</v>
      </c>
      <c r="Z103" t="str">
        <f>"Yes|No"</f>
        <v>Yes|No</v>
      </c>
      <c r="AA103" t="str">
        <f>"2"</f>
        <v>2</v>
      </c>
    </row>
    <row r="104" spans="1:27" x14ac:dyDescent="0.3">
      <c r="A104">
        <v>103</v>
      </c>
      <c r="B104" t="str">
        <f t="shared" si="14"/>
        <v>174015848573313230</v>
      </c>
      <c r="C104" t="s">
        <v>27</v>
      </c>
      <c r="D104" t="s">
        <v>28</v>
      </c>
      <c r="E104" t="s">
        <v>29</v>
      </c>
      <c r="F104" t="s">
        <v>30</v>
      </c>
      <c r="G104" t="s">
        <v>425</v>
      </c>
      <c r="H104" t="s">
        <v>426</v>
      </c>
      <c r="I104" t="s">
        <v>427</v>
      </c>
      <c r="J104" t="s">
        <v>35</v>
      </c>
      <c r="K104" t="s">
        <v>34</v>
      </c>
      <c r="L104" t="s">
        <v>428</v>
      </c>
      <c r="M104">
        <v>275202</v>
      </c>
      <c r="N104" t="s">
        <v>35</v>
      </c>
      <c r="O104" t="str">
        <f>"CEO/President"</f>
        <v>CEO/President</v>
      </c>
      <c r="P104" t="str">
        <f>"JMAC Group, LLC"</f>
        <v>JMAC Group, LLC</v>
      </c>
      <c r="Q104" t="str">
        <f>"1-8328642396"</f>
        <v>1-8328642396</v>
      </c>
      <c r="R104" t="str">
        <f>"9894 Bissonnet St."</f>
        <v>9894 Bissonnet St.</v>
      </c>
      <c r="S104" t="str">
        <f>"Houston"</f>
        <v>Houston</v>
      </c>
      <c r="T104" t="str">
        <f>"TX"</f>
        <v>TX</v>
      </c>
      <c r="U104" t="str">
        <f>"77036"</f>
        <v>77036</v>
      </c>
      <c r="V104" t="s">
        <v>37</v>
      </c>
      <c r="W104" t="str">
        <f>"Guest"</f>
        <v>Guest</v>
      </c>
      <c r="X104" t="str">
        <f>"Yes"</f>
        <v>Yes</v>
      </c>
      <c r="Y104" t="str">
        <f>"No"</f>
        <v>No</v>
      </c>
      <c r="Z104" t="str">
        <f>"No"</f>
        <v>No</v>
      </c>
      <c r="AA104" t="str">
        <f>"5"</f>
        <v>5</v>
      </c>
    </row>
    <row r="105" spans="1:27" x14ac:dyDescent="0.3">
      <c r="A105">
        <v>104</v>
      </c>
      <c r="B105" t="str">
        <f t="shared" si="14"/>
        <v>174015848573313230</v>
      </c>
      <c r="C105" t="s">
        <v>27</v>
      </c>
      <c r="D105" t="s">
        <v>28</v>
      </c>
      <c r="E105" t="s">
        <v>29</v>
      </c>
      <c r="F105" t="s">
        <v>30</v>
      </c>
      <c r="G105" t="s">
        <v>429</v>
      </c>
      <c r="H105" t="s">
        <v>430</v>
      </c>
      <c r="I105" t="s">
        <v>431</v>
      </c>
      <c r="J105" t="s">
        <v>35</v>
      </c>
      <c r="K105" t="s">
        <v>35</v>
      </c>
      <c r="L105" t="s">
        <v>432</v>
      </c>
      <c r="M105">
        <v>257355</v>
      </c>
      <c r="N105" t="s">
        <v>35</v>
      </c>
      <c r="O105" t="str">
        <f>"Director of Contracts and Compliance"</f>
        <v>Director of Contracts and Compliance</v>
      </c>
      <c r="P105" t="str">
        <f>"Zachry Construction Corporation"</f>
        <v>Zachry Construction Corporation</v>
      </c>
      <c r="Q105" t="str">
        <f>"1-2108713385"</f>
        <v>1-2108713385</v>
      </c>
      <c r="R105" t="str">
        <f>"2330 North Loop 1604 West"</f>
        <v>2330 North Loop 1604 West</v>
      </c>
      <c r="S105" t="str">
        <f>"San Antonio"</f>
        <v>San Antonio</v>
      </c>
      <c r="T105" t="str">
        <f>"TX"</f>
        <v>TX</v>
      </c>
      <c r="U105" t="str">
        <f>"78248"</f>
        <v>78248</v>
      </c>
      <c r="V105" t="s">
        <v>37</v>
      </c>
      <c r="W105" t="str">
        <f>"AGC Member|RHCA Member|Guest"</f>
        <v>AGC Member|RHCA Member|Guest</v>
      </c>
      <c r="X105" t="str">
        <f>"No"</f>
        <v>No</v>
      </c>
      <c r="Y105" t="str">
        <f t="shared" ref="Y105:Z110" si="16">"Yes"</f>
        <v>Yes</v>
      </c>
      <c r="Z105" t="str">
        <f t="shared" si="16"/>
        <v>Yes</v>
      </c>
      <c r="AA105" t="str">
        <f>"124"</f>
        <v>124</v>
      </c>
    </row>
    <row r="106" spans="1:27" x14ac:dyDescent="0.3">
      <c r="A106">
        <v>105</v>
      </c>
      <c r="B106" t="str">
        <f t="shared" si="14"/>
        <v>174015848573313230</v>
      </c>
      <c r="C106" t="s">
        <v>27</v>
      </c>
      <c r="D106" t="s">
        <v>28</v>
      </c>
      <c r="E106" t="s">
        <v>29</v>
      </c>
      <c r="F106" t="s">
        <v>30</v>
      </c>
      <c r="G106" t="s">
        <v>433</v>
      </c>
      <c r="H106" t="s">
        <v>434</v>
      </c>
      <c r="I106" t="s">
        <v>435</v>
      </c>
      <c r="J106" t="s">
        <v>35</v>
      </c>
      <c r="K106" t="s">
        <v>35</v>
      </c>
      <c r="L106" t="s">
        <v>436</v>
      </c>
      <c r="M106">
        <v>343857</v>
      </c>
      <c r="N106" t="s">
        <v>35</v>
      </c>
      <c r="O106" t="str">
        <f>"Vice President"</f>
        <v>Vice President</v>
      </c>
      <c r="P106" t="str">
        <f>"HVJ"</f>
        <v>HVJ</v>
      </c>
      <c r="Q106" t="str">
        <f>"1-214-278-0227"</f>
        <v>1-214-278-0227</v>
      </c>
      <c r="R106" t="str">
        <f>"8701 John W. Carpenter Fwy, Suite 250"</f>
        <v>8701 John W. Carpenter Fwy, Suite 250</v>
      </c>
      <c r="S106" t="str">
        <f>"Dallas"</f>
        <v>Dallas</v>
      </c>
      <c r="T106" t="str">
        <f>"TX"</f>
        <v>TX</v>
      </c>
      <c r="U106" t="str">
        <f>"75247"</f>
        <v>75247</v>
      </c>
      <c r="V106" t="s">
        <v>37</v>
      </c>
      <c r="W106" t="str">
        <f>"Guest"</f>
        <v>Guest</v>
      </c>
      <c r="X106" t="str">
        <f>"Yes"</f>
        <v>Yes</v>
      </c>
      <c r="Y106" t="str">
        <f t="shared" si="16"/>
        <v>Yes</v>
      </c>
      <c r="Z106" t="str">
        <f t="shared" si="16"/>
        <v>Yes</v>
      </c>
      <c r="AA106" t="str">
        <f>"4"</f>
        <v>4</v>
      </c>
    </row>
    <row r="107" spans="1:27" x14ac:dyDescent="0.3">
      <c r="A107">
        <v>106</v>
      </c>
      <c r="B107" t="str">
        <f t="shared" si="14"/>
        <v>174015848573313230</v>
      </c>
      <c r="C107" t="s">
        <v>27</v>
      </c>
      <c r="D107" t="s">
        <v>28</v>
      </c>
      <c r="E107" t="s">
        <v>29</v>
      </c>
      <c r="F107" t="s">
        <v>30</v>
      </c>
      <c r="G107" t="s">
        <v>437</v>
      </c>
      <c r="H107" t="s">
        <v>438</v>
      </c>
      <c r="I107" t="s">
        <v>439</v>
      </c>
      <c r="J107" t="s">
        <v>35</v>
      </c>
      <c r="K107" t="s">
        <v>35</v>
      </c>
      <c r="L107" t="s">
        <v>440</v>
      </c>
      <c r="M107">
        <v>290822</v>
      </c>
      <c r="N107" t="s">
        <v>35</v>
      </c>
      <c r="O107" t="str">
        <f>"Director of Sales"</f>
        <v>Director of Sales</v>
      </c>
      <c r="P107" t="str">
        <f>"Fuel Services and Preventative Equipment Maintenance"</f>
        <v>Fuel Services and Preventative Equipment Maintenance</v>
      </c>
      <c r="Q107" t="str">
        <f>"1-7138700663"</f>
        <v>1-7138700663</v>
      </c>
      <c r="R107" t="str">
        <f>"11788 CR53"</f>
        <v>11788 CR53</v>
      </c>
      <c r="S107" t="str">
        <f>"Celina"</f>
        <v>Celina</v>
      </c>
      <c r="T107" t="str">
        <f>"Collin"</f>
        <v>Collin</v>
      </c>
      <c r="U107" t="str">
        <f>"75009"</f>
        <v>75009</v>
      </c>
      <c r="V107" t="s">
        <v>37</v>
      </c>
      <c r="W107" t="str">
        <f>"AACATX Member|AGC Member|RHCA Member"</f>
        <v>AACATX Member|AGC Member|RHCA Member</v>
      </c>
      <c r="X107" t="str">
        <f>"Yes"</f>
        <v>Yes</v>
      </c>
      <c r="Y107" t="str">
        <f t="shared" si="16"/>
        <v>Yes</v>
      </c>
      <c r="Z107" t="str">
        <f t="shared" si="16"/>
        <v>Yes</v>
      </c>
      <c r="AA107" t="str">
        <f>"9"</f>
        <v>9</v>
      </c>
    </row>
    <row r="108" spans="1:27" x14ac:dyDescent="0.3">
      <c r="A108">
        <v>107</v>
      </c>
      <c r="B108" t="str">
        <f t="shared" si="14"/>
        <v>174015848573313230</v>
      </c>
      <c r="C108" t="s">
        <v>27</v>
      </c>
      <c r="D108" t="s">
        <v>28</v>
      </c>
      <c r="E108" t="s">
        <v>29</v>
      </c>
      <c r="F108" t="s">
        <v>30</v>
      </c>
      <c r="G108" t="s">
        <v>441</v>
      </c>
      <c r="H108" t="s">
        <v>442</v>
      </c>
      <c r="I108" t="s">
        <v>443</v>
      </c>
      <c r="J108" t="s">
        <v>35</v>
      </c>
      <c r="K108" t="s">
        <v>34</v>
      </c>
      <c r="L108" t="s">
        <v>121</v>
      </c>
      <c r="M108">
        <v>456253</v>
      </c>
      <c r="N108" t="s">
        <v>34</v>
      </c>
      <c r="O108" t="str">
        <f>"Vice President"</f>
        <v>Vice President</v>
      </c>
      <c r="P108" t="str">
        <f>"Balfour Beatty"</f>
        <v>Balfour Beatty</v>
      </c>
      <c r="Q108" t="str">
        <f>"1-214-533-8573"</f>
        <v>1-214-533-8573</v>
      </c>
      <c r="R108" t="str">
        <f>"160 Continental Avenue"</f>
        <v>160 Continental Avenue</v>
      </c>
      <c r="S108" t="str">
        <f>"Dallas"</f>
        <v>Dallas</v>
      </c>
      <c r="T108" t="str">
        <f>"Texas"</f>
        <v>Texas</v>
      </c>
      <c r="U108" t="str">
        <f>"75207"</f>
        <v>75207</v>
      </c>
      <c r="V108" t="s">
        <v>37</v>
      </c>
      <c r="W108" t="str">
        <f>"AGC Member"</f>
        <v>AGC Member</v>
      </c>
      <c r="X108" t="str">
        <f>"No"</f>
        <v>No</v>
      </c>
      <c r="Y108" t="str">
        <f t="shared" si="16"/>
        <v>Yes</v>
      </c>
      <c r="Z108" t="str">
        <f t="shared" si="16"/>
        <v>Yes</v>
      </c>
      <c r="AA108" t="str">
        <f>"50"</f>
        <v>50</v>
      </c>
    </row>
    <row r="109" spans="1:27" x14ac:dyDescent="0.3">
      <c r="A109">
        <v>108</v>
      </c>
      <c r="B109" t="str">
        <f t="shared" si="14"/>
        <v>174015848573313230</v>
      </c>
      <c r="C109" t="s">
        <v>27</v>
      </c>
      <c r="D109" t="s">
        <v>28</v>
      </c>
      <c r="E109" t="s">
        <v>29</v>
      </c>
      <c r="F109" t="s">
        <v>30</v>
      </c>
      <c r="G109" t="s">
        <v>444</v>
      </c>
      <c r="H109" t="s">
        <v>142</v>
      </c>
      <c r="I109" t="s">
        <v>445</v>
      </c>
      <c r="J109" t="s">
        <v>35</v>
      </c>
      <c r="K109" t="s">
        <v>35</v>
      </c>
      <c r="L109" t="s">
        <v>446</v>
      </c>
      <c r="M109">
        <v>507475</v>
      </c>
      <c r="N109" t="s">
        <v>35</v>
      </c>
      <c r="O109" t="str">
        <f>"Owner"</f>
        <v>Owner</v>
      </c>
      <c r="P109" t="str">
        <f>"JRB Engineering, LLC"</f>
        <v>JRB Engineering, LLC</v>
      </c>
      <c r="Q109" t="str">
        <f>"1-4695691480"</f>
        <v>1-4695691480</v>
      </c>
      <c r="R109" t="str">
        <f>"8908 Ambassador Row, Suite 400"</f>
        <v>8908 Ambassador Row, Suite 400</v>
      </c>
      <c r="S109" t="str">
        <f>"Dallas"</f>
        <v>Dallas</v>
      </c>
      <c r="T109" t="str">
        <f>"TX"</f>
        <v>TX</v>
      </c>
      <c r="U109" t="str">
        <f>"75247"</f>
        <v>75247</v>
      </c>
      <c r="V109" t="s">
        <v>37</v>
      </c>
      <c r="W109" t="str">
        <f>"RHCA Member"</f>
        <v>RHCA Member</v>
      </c>
      <c r="X109" t="str">
        <f>"Yes"</f>
        <v>Yes</v>
      </c>
      <c r="Y109" t="str">
        <f t="shared" si="16"/>
        <v>Yes</v>
      </c>
      <c r="Z109" t="str">
        <f t="shared" si="16"/>
        <v>Yes</v>
      </c>
      <c r="AA109" t="str">
        <f>"12"</f>
        <v>12</v>
      </c>
    </row>
    <row r="110" spans="1:27" x14ac:dyDescent="0.3">
      <c r="A110">
        <v>109</v>
      </c>
      <c r="B110" t="str">
        <f t="shared" si="14"/>
        <v>174015848573313230</v>
      </c>
      <c r="C110" t="s">
        <v>27</v>
      </c>
      <c r="D110" t="s">
        <v>28</v>
      </c>
      <c r="E110" t="s">
        <v>29</v>
      </c>
      <c r="F110" t="s">
        <v>30</v>
      </c>
      <c r="G110" t="s">
        <v>447</v>
      </c>
      <c r="H110" t="s">
        <v>448</v>
      </c>
      <c r="I110" t="s">
        <v>449</v>
      </c>
      <c r="J110" t="s">
        <v>35</v>
      </c>
      <c r="K110" t="s">
        <v>35</v>
      </c>
      <c r="L110" t="s">
        <v>450</v>
      </c>
      <c r="M110">
        <v>882850</v>
      </c>
      <c r="N110" t="s">
        <v>35</v>
      </c>
      <c r="O110" t="str">
        <f>"Manager"</f>
        <v>Manager</v>
      </c>
      <c r="P110" t="str">
        <f>"Royal Rebar Inc."</f>
        <v>Royal Rebar Inc.</v>
      </c>
      <c r="Q110" t="str">
        <f>"1-8324860518"</f>
        <v>1-8324860518</v>
      </c>
      <c r="R110" t="str">
        <f>"9001 Airport Blvd"</f>
        <v>9001 Airport Blvd</v>
      </c>
      <c r="S110" t="str">
        <f>"Houston"</f>
        <v>Houston</v>
      </c>
      <c r="T110" t="str">
        <f>"Texas"</f>
        <v>Texas</v>
      </c>
      <c r="U110" t="str">
        <f>"77061"</f>
        <v>77061</v>
      </c>
      <c r="V110" t="s">
        <v>37</v>
      </c>
      <c r="W110" t="str">
        <f>"Guest"</f>
        <v>Guest</v>
      </c>
      <c r="X110" t="str">
        <f>"Yes"</f>
        <v>Yes</v>
      </c>
      <c r="Y110" t="str">
        <f t="shared" si="16"/>
        <v>Yes</v>
      </c>
      <c r="Z110" t="str">
        <f t="shared" si="16"/>
        <v>Yes</v>
      </c>
      <c r="AA110" t="str">
        <f>"5"</f>
        <v>5</v>
      </c>
    </row>
    <row r="111" spans="1:27" x14ac:dyDescent="0.3">
      <c r="A111">
        <v>110</v>
      </c>
      <c r="B111" t="str">
        <f t="shared" si="14"/>
        <v>174015848573313230</v>
      </c>
      <c r="C111" t="s">
        <v>27</v>
      </c>
      <c r="D111" t="s">
        <v>28</v>
      </c>
      <c r="E111" t="s">
        <v>29</v>
      </c>
      <c r="F111" t="s">
        <v>30</v>
      </c>
      <c r="G111" t="s">
        <v>451</v>
      </c>
      <c r="H111" t="s">
        <v>452</v>
      </c>
      <c r="I111" t="s">
        <v>453</v>
      </c>
      <c r="J111" t="s">
        <v>35</v>
      </c>
      <c r="K111" t="s">
        <v>35</v>
      </c>
      <c r="L111" t="s">
        <v>454</v>
      </c>
      <c r="M111">
        <v>996266</v>
      </c>
      <c r="N111" t="s">
        <v>35</v>
      </c>
      <c r="O111" t="str">
        <f>"Business Development"</f>
        <v>Business Development</v>
      </c>
      <c r="P111" t="str">
        <f>"The Burrell Group"</f>
        <v>The Burrell Group</v>
      </c>
      <c r="Q111" t="str">
        <f>"1-9728098388"</f>
        <v>1-9728098388</v>
      </c>
      <c r="R111" t="str">
        <f>"1420 Prudential Drive"</f>
        <v>1420 Prudential Drive</v>
      </c>
      <c r="S111" t="str">
        <f>"Dallas"</f>
        <v>Dallas</v>
      </c>
      <c r="T111" t="str">
        <f>"Texas"</f>
        <v>Texas</v>
      </c>
      <c r="U111" t="str">
        <f>"75235"</f>
        <v>75235</v>
      </c>
      <c r="V111" t="s">
        <v>37</v>
      </c>
      <c r="W111" t="str">
        <f>"AACATX Member|AGC Member|RHCA Member|Guest"</f>
        <v>AACATX Member|AGC Member|RHCA Member|Guest</v>
      </c>
      <c r="X111" t="str">
        <f t="shared" ref="X111:Z112" si="17">"Yes|No"</f>
        <v>Yes|No</v>
      </c>
      <c r="Y111" t="str">
        <f t="shared" si="17"/>
        <v>Yes|No</v>
      </c>
      <c r="Z111" t="str">
        <f t="shared" si="17"/>
        <v>Yes|No</v>
      </c>
      <c r="AA111" t="str">
        <f>"25"</f>
        <v>25</v>
      </c>
    </row>
    <row r="112" spans="1:27" x14ac:dyDescent="0.3">
      <c r="A112">
        <v>111</v>
      </c>
      <c r="B112" t="str">
        <f t="shared" si="14"/>
        <v>174015848573313230</v>
      </c>
      <c r="C112" t="s">
        <v>27</v>
      </c>
      <c r="D112" t="s">
        <v>28</v>
      </c>
      <c r="E112" t="s">
        <v>29</v>
      </c>
      <c r="F112" t="s">
        <v>30</v>
      </c>
      <c r="G112" t="s">
        <v>455</v>
      </c>
      <c r="H112" t="s">
        <v>456</v>
      </c>
      <c r="I112" t="s">
        <v>457</v>
      </c>
      <c r="J112" t="s">
        <v>35</v>
      </c>
      <c r="K112" t="s">
        <v>35</v>
      </c>
      <c r="L112" t="s">
        <v>458</v>
      </c>
      <c r="M112">
        <v>665789</v>
      </c>
      <c r="N112" t="s">
        <v>35</v>
      </c>
      <c r="O112" t="str">
        <f>"Sr. Procurement Specialist"</f>
        <v>Sr. Procurement Specialist</v>
      </c>
      <c r="P112" t="str">
        <f>"NTTA"</f>
        <v>NTTA</v>
      </c>
      <c r="Q112" t="str">
        <f>"1-2143856533"</f>
        <v>1-2143856533</v>
      </c>
      <c r="R112" t="str">
        <f>"5900 W. Plano Parkway"</f>
        <v>5900 W. Plano Parkway</v>
      </c>
      <c r="S112" t="str">
        <f>"Plano"</f>
        <v>Plano</v>
      </c>
      <c r="T112" t="str">
        <f>"TX"</f>
        <v>TX</v>
      </c>
      <c r="U112" t="str">
        <f>"75095"</f>
        <v>75095</v>
      </c>
      <c r="V112" t="s">
        <v>37</v>
      </c>
      <c r="W112" t="str">
        <f>"AACATX Member|AGC Member|RHCA Member|Guest"</f>
        <v>AACATX Member|AGC Member|RHCA Member|Guest</v>
      </c>
      <c r="X112" t="str">
        <f t="shared" si="17"/>
        <v>Yes|No</v>
      </c>
      <c r="Y112" t="str">
        <f t="shared" si="17"/>
        <v>Yes|No</v>
      </c>
      <c r="Z112" t="str">
        <f t="shared" si="17"/>
        <v>Yes|No</v>
      </c>
      <c r="AA112" t="str">
        <f>"13"</f>
        <v>13</v>
      </c>
    </row>
    <row r="113" spans="1:27" x14ac:dyDescent="0.3">
      <c r="A113">
        <v>112</v>
      </c>
      <c r="B113" t="str">
        <f t="shared" si="14"/>
        <v>174015848573313230</v>
      </c>
      <c r="C113" t="s">
        <v>27</v>
      </c>
      <c r="D113" t="s">
        <v>28</v>
      </c>
      <c r="E113" t="s">
        <v>29</v>
      </c>
      <c r="F113" t="s">
        <v>30</v>
      </c>
      <c r="G113" t="s">
        <v>459</v>
      </c>
      <c r="H113" t="s">
        <v>460</v>
      </c>
      <c r="I113" t="s">
        <v>461</v>
      </c>
      <c r="J113" t="s">
        <v>35</v>
      </c>
      <c r="K113" t="s">
        <v>35</v>
      </c>
      <c r="L113" t="s">
        <v>462</v>
      </c>
      <c r="M113">
        <v>405112</v>
      </c>
      <c r="N113" t="s">
        <v>35</v>
      </c>
      <c r="O113" t="str">
        <f>"CEO"</f>
        <v>CEO</v>
      </c>
      <c r="P113" t="str">
        <f>"Geostructural Engineering Inc"</f>
        <v>Geostructural Engineering Inc</v>
      </c>
      <c r="Q113" t="str">
        <f>"1-7073223507"</f>
        <v>1-7073223507</v>
      </c>
      <c r="R113" t="str">
        <f>"7172 Regional St #440"</f>
        <v>7172 Regional St #440</v>
      </c>
      <c r="S113" t="str">
        <f>"Dublin"</f>
        <v>Dublin</v>
      </c>
      <c r="T113" t="str">
        <f>"CA"</f>
        <v>CA</v>
      </c>
      <c r="U113" t="str">
        <f>"94568"</f>
        <v>94568</v>
      </c>
      <c r="V113" t="s">
        <v>37</v>
      </c>
      <c r="W113" t="str">
        <f>"RHCA Member"</f>
        <v>RHCA Member</v>
      </c>
      <c r="X113" t="str">
        <f>"Yes"</f>
        <v>Yes</v>
      </c>
      <c r="Y113" t="str">
        <f>"No"</f>
        <v>No</v>
      </c>
      <c r="Z113" t="str">
        <f>"No"</f>
        <v>No</v>
      </c>
      <c r="AA113" t="str">
        <f>"5+"</f>
        <v>5+</v>
      </c>
    </row>
    <row r="114" spans="1:27" x14ac:dyDescent="0.3">
      <c r="A114">
        <v>113</v>
      </c>
      <c r="B114" t="str">
        <f t="shared" si="14"/>
        <v>174015848573313230</v>
      </c>
      <c r="C114" t="s">
        <v>27</v>
      </c>
      <c r="D114" t="s">
        <v>28</v>
      </c>
      <c r="E114" t="s">
        <v>29</v>
      </c>
      <c r="F114" t="s">
        <v>30</v>
      </c>
      <c r="G114" t="s">
        <v>463</v>
      </c>
      <c r="H114" t="s">
        <v>464</v>
      </c>
      <c r="I114" t="s">
        <v>465</v>
      </c>
      <c r="J114" t="s">
        <v>35</v>
      </c>
      <c r="K114" t="s">
        <v>34</v>
      </c>
      <c r="L114" t="s">
        <v>466</v>
      </c>
      <c r="M114">
        <v>440881</v>
      </c>
      <c r="N114" t="s">
        <v>35</v>
      </c>
      <c r="O114" t="str">
        <f>"Owner"</f>
        <v>Owner</v>
      </c>
      <c r="P114" t="str">
        <f>"Cleaned Your Way Janitorial LLC"</f>
        <v>Cleaned Your Way Janitorial LLC</v>
      </c>
      <c r="Q114" t="str">
        <f>"1-4696674486"</f>
        <v>1-4696674486</v>
      </c>
      <c r="R114" t="str">
        <f>"700 South Central Expressway Way"</f>
        <v>700 South Central Expressway Way</v>
      </c>
      <c r="S114" t="str">
        <f>"Allen"</f>
        <v>Allen</v>
      </c>
      <c r="T114" t="str">
        <f>"Tx"</f>
        <v>Tx</v>
      </c>
      <c r="U114" t="str">
        <f>"75013"</f>
        <v>75013</v>
      </c>
      <c r="V114" t="s">
        <v>37</v>
      </c>
      <c r="W114" t="str">
        <f>"Guest"</f>
        <v>Guest</v>
      </c>
      <c r="X114" t="str">
        <f>"Yes|No"</f>
        <v>Yes|No</v>
      </c>
      <c r="Y114" t="str">
        <f>"Yes|No"</f>
        <v>Yes|No</v>
      </c>
      <c r="Z114" t="str">
        <f>"Yes|No"</f>
        <v>Yes|No</v>
      </c>
      <c r="AA114" t="str">
        <f>"10"</f>
        <v>10</v>
      </c>
    </row>
    <row r="115" spans="1:27" x14ac:dyDescent="0.3">
      <c r="A115">
        <v>114</v>
      </c>
      <c r="B115" t="str">
        <f t="shared" si="14"/>
        <v>174015848573313230</v>
      </c>
      <c r="C115" t="s">
        <v>27</v>
      </c>
      <c r="D115" t="s">
        <v>28</v>
      </c>
      <c r="E115" t="s">
        <v>29</v>
      </c>
      <c r="F115" t="s">
        <v>30</v>
      </c>
      <c r="G115" t="s">
        <v>467</v>
      </c>
      <c r="H115" t="s">
        <v>468</v>
      </c>
      <c r="I115" t="s">
        <v>469</v>
      </c>
      <c r="J115" t="s">
        <v>35</v>
      </c>
      <c r="K115" t="s">
        <v>35</v>
      </c>
      <c r="L115" t="s">
        <v>276</v>
      </c>
      <c r="M115">
        <v>139943</v>
      </c>
      <c r="N115" t="s">
        <v>35</v>
      </c>
      <c r="O115" t="str">
        <f>"Marketing/ Business Development"</f>
        <v>Marketing/ Business Development</v>
      </c>
      <c r="P115" t="str">
        <f>"Material and Equipment Rental Locator (MERL)"</f>
        <v>Material and Equipment Rental Locator (MERL)</v>
      </c>
      <c r="Q115" t="str">
        <f>"1-8178946735"</f>
        <v>1-8178946735</v>
      </c>
      <c r="R115" t="str">
        <f>"1212 4th Street"</f>
        <v>1212 4th Street</v>
      </c>
      <c r="S115" t="str">
        <f>"Granbury"</f>
        <v>Granbury</v>
      </c>
      <c r="T115" t="str">
        <f>"Texas"</f>
        <v>Texas</v>
      </c>
      <c r="U115" t="str">
        <f>"76048"</f>
        <v>76048</v>
      </c>
      <c r="V115" t="s">
        <v>37</v>
      </c>
      <c r="W115" t="str">
        <f>"Guest"</f>
        <v>Guest</v>
      </c>
      <c r="X115" t="str">
        <f>"In the process"</f>
        <v>In the process</v>
      </c>
      <c r="Y115" t="str">
        <f>"No"</f>
        <v>No</v>
      </c>
      <c r="Z115" t="str">
        <f>"No"</f>
        <v>No</v>
      </c>
      <c r="AA115" t="str">
        <f>"1"</f>
        <v>1</v>
      </c>
    </row>
    <row r="116" spans="1:27" x14ac:dyDescent="0.3">
      <c r="A116">
        <v>115</v>
      </c>
      <c r="B116" t="str">
        <f t="shared" si="14"/>
        <v>174015848573313230</v>
      </c>
      <c r="C116" t="s">
        <v>27</v>
      </c>
      <c r="D116" t="s">
        <v>28</v>
      </c>
      <c r="E116" t="s">
        <v>29</v>
      </c>
      <c r="F116" t="s">
        <v>30</v>
      </c>
      <c r="G116" t="s">
        <v>470</v>
      </c>
      <c r="H116" t="s">
        <v>471</v>
      </c>
      <c r="I116" t="s">
        <v>472</v>
      </c>
      <c r="J116" t="s">
        <v>35</v>
      </c>
      <c r="K116" t="s">
        <v>35</v>
      </c>
      <c r="L116" t="s">
        <v>473</v>
      </c>
      <c r="M116">
        <v>182216</v>
      </c>
      <c r="N116" t="s">
        <v>34</v>
      </c>
      <c r="O116" t="str">
        <f>"Vice President"</f>
        <v>Vice President</v>
      </c>
      <c r="P116" t="str">
        <f>"Kleinfelder, Inc."</f>
        <v>Kleinfelder, Inc.</v>
      </c>
      <c r="Q116" t="str">
        <f>"1-5124914628"</f>
        <v>1-5124914628</v>
      </c>
      <c r="R116" t="str">
        <f>"11100 Metric Blvd, Suite 100"</f>
        <v>11100 Metric Blvd, Suite 100</v>
      </c>
      <c r="S116" t="str">
        <f>"Austin"</f>
        <v>Austin</v>
      </c>
      <c r="T116" t="str">
        <f>"TX"</f>
        <v>TX</v>
      </c>
      <c r="U116" t="str">
        <f>"78758"</f>
        <v>78758</v>
      </c>
      <c r="V116" t="s">
        <v>37</v>
      </c>
      <c r="W116" t="str">
        <f>"AGC Member|RHCA Member"</f>
        <v>AGC Member|RHCA Member</v>
      </c>
      <c r="X116" t="str">
        <f>"No"</f>
        <v>No</v>
      </c>
      <c r="Y116" t="str">
        <f>"Yes"</f>
        <v>Yes</v>
      </c>
      <c r="Z116" t="str">
        <f>"Yes"</f>
        <v>Yes</v>
      </c>
      <c r="AA116" t="str">
        <f>"60"</f>
        <v>60</v>
      </c>
    </row>
    <row r="117" spans="1:27" x14ac:dyDescent="0.3">
      <c r="A117">
        <v>116</v>
      </c>
      <c r="B117" t="str">
        <f t="shared" si="14"/>
        <v>174015848573313230</v>
      </c>
      <c r="C117" t="s">
        <v>27</v>
      </c>
      <c r="D117" t="s">
        <v>28</v>
      </c>
      <c r="E117" t="s">
        <v>29</v>
      </c>
      <c r="F117" t="s">
        <v>30</v>
      </c>
      <c r="G117" t="s">
        <v>474</v>
      </c>
      <c r="H117" t="s">
        <v>475</v>
      </c>
      <c r="I117" t="s">
        <v>476</v>
      </c>
      <c r="J117" t="s">
        <v>35</v>
      </c>
      <c r="K117" t="s">
        <v>35</v>
      </c>
      <c r="L117" t="s">
        <v>477</v>
      </c>
      <c r="M117">
        <v>363072</v>
      </c>
      <c r="N117" t="s">
        <v>35</v>
      </c>
      <c r="O117" t="str">
        <f>"Diversity Outreach Coordinator"</f>
        <v>Diversity Outreach Coordinator</v>
      </c>
      <c r="P117" t="str">
        <f>"Flatiron Constructors, Inc."</f>
        <v>Flatiron Constructors, Inc.</v>
      </c>
      <c r="Q117" t="str">
        <f>"1-512-627-0036"</f>
        <v>1-512-627-0036</v>
      </c>
      <c r="R117" t="str">
        <f>"101 Thermon Dr."</f>
        <v>101 Thermon Dr.</v>
      </c>
      <c r="S117" t="str">
        <f>"San Marcos"</f>
        <v>San Marcos</v>
      </c>
      <c r="T117" t="str">
        <f>"TX"</f>
        <v>TX</v>
      </c>
      <c r="U117" t="str">
        <f>"78666"</f>
        <v>78666</v>
      </c>
      <c r="V117" t="s">
        <v>37</v>
      </c>
      <c r="W117" t="str">
        <f>"AACATX Member|AGC Member|RHCA Member"</f>
        <v>AACATX Member|AGC Member|RHCA Member</v>
      </c>
      <c r="X117" t="str">
        <f>"No"</f>
        <v>No</v>
      </c>
      <c r="Y117" t="str">
        <f>"Yes"</f>
        <v>Yes</v>
      </c>
      <c r="Z117" t="str">
        <f>"Yes"</f>
        <v>Yes</v>
      </c>
      <c r="AA117" t="str">
        <f>"70+"</f>
        <v>70+</v>
      </c>
    </row>
    <row r="118" spans="1:27" x14ac:dyDescent="0.3">
      <c r="A118">
        <v>117</v>
      </c>
      <c r="B118" t="str">
        <f t="shared" si="14"/>
        <v>174015848573313230</v>
      </c>
      <c r="C118" t="s">
        <v>27</v>
      </c>
      <c r="D118" t="s">
        <v>28</v>
      </c>
      <c r="E118" t="s">
        <v>29</v>
      </c>
      <c r="F118" t="s">
        <v>30</v>
      </c>
      <c r="G118" t="s">
        <v>478</v>
      </c>
      <c r="H118" t="s">
        <v>479</v>
      </c>
      <c r="I118" t="s">
        <v>480</v>
      </c>
      <c r="J118" t="s">
        <v>35</v>
      </c>
      <c r="K118" t="s">
        <v>35</v>
      </c>
      <c r="L118" t="s">
        <v>481</v>
      </c>
      <c r="M118">
        <v>521892</v>
      </c>
      <c r="N118" t="s">
        <v>35</v>
      </c>
      <c r="O118" t="str">
        <f>"Business Development"</f>
        <v>Business Development</v>
      </c>
      <c r="P118" t="str">
        <f>"Aegis Project Controls"</f>
        <v>Aegis Project Controls</v>
      </c>
      <c r="Q118" t="str">
        <f>"1-9184065924"</f>
        <v>1-9184065924</v>
      </c>
      <c r="R118" t="str">
        <f>"901 Main Street, Suite 4100, Dallas, TX 75202"</f>
        <v>901 Main Street, Suite 4100, Dallas, TX 75202</v>
      </c>
      <c r="S118" t="str">
        <f>"Dallas"</f>
        <v>Dallas</v>
      </c>
      <c r="T118" t="str">
        <f>"TX"</f>
        <v>TX</v>
      </c>
      <c r="U118" t="str">
        <f>"75202"</f>
        <v>75202</v>
      </c>
      <c r="V118" t="s">
        <v>37</v>
      </c>
      <c r="W118" t="str">
        <f>"AGC Member"</f>
        <v>AGC Member</v>
      </c>
      <c r="X118" t="str">
        <f>"No"</f>
        <v>No</v>
      </c>
      <c r="Y118" t="str">
        <f>"No"</f>
        <v>No</v>
      </c>
      <c r="Z118" t="str">
        <f>"No"</f>
        <v>No</v>
      </c>
      <c r="AA118" t="str">
        <f>"14"</f>
        <v>14</v>
      </c>
    </row>
    <row r="119" spans="1:27" x14ac:dyDescent="0.3">
      <c r="A119">
        <v>118</v>
      </c>
      <c r="B119" t="str">
        <f t="shared" si="14"/>
        <v>174015848573313230</v>
      </c>
      <c r="C119" t="s">
        <v>27</v>
      </c>
      <c r="D119" t="s">
        <v>28</v>
      </c>
      <c r="E119" t="s">
        <v>29</v>
      </c>
      <c r="F119" t="s">
        <v>30</v>
      </c>
      <c r="G119" t="s">
        <v>482</v>
      </c>
      <c r="H119" t="s">
        <v>483</v>
      </c>
      <c r="I119" t="s">
        <v>484</v>
      </c>
      <c r="J119" t="s">
        <v>35</v>
      </c>
      <c r="K119" t="s">
        <v>35</v>
      </c>
      <c r="L119" t="s">
        <v>485</v>
      </c>
      <c r="M119">
        <v>373890</v>
      </c>
      <c r="N119" t="s">
        <v>34</v>
      </c>
      <c r="O119" t="str">
        <f>"CEO"</f>
        <v>CEO</v>
      </c>
      <c r="P119" t="str">
        <f>"Tex-Braska Supply"</f>
        <v>Tex-Braska Supply</v>
      </c>
      <c r="Q119" t="str">
        <f>"1-5129170537"</f>
        <v>1-5129170537</v>
      </c>
      <c r="R119" t="str">
        <f>"P O Box 3690"</f>
        <v>P O Box 3690</v>
      </c>
      <c r="S119" t="str">
        <f>"Burleson"</f>
        <v>Burleson</v>
      </c>
      <c r="T119" t="str">
        <f>"Texas"</f>
        <v>Texas</v>
      </c>
      <c r="U119" t="str">
        <f>"76097"</f>
        <v>76097</v>
      </c>
      <c r="V119" t="s">
        <v>37</v>
      </c>
      <c r="W119" t="str">
        <f>"Guest"</f>
        <v>Guest</v>
      </c>
      <c r="X119" t="str">
        <f>"Yes"</f>
        <v>Yes</v>
      </c>
      <c r="Y119" t="str">
        <f>"No"</f>
        <v>No</v>
      </c>
      <c r="Z119" t="str">
        <f>"No"</f>
        <v>No</v>
      </c>
      <c r="AA119" t="str">
        <f>"1"</f>
        <v>1</v>
      </c>
    </row>
    <row r="120" spans="1:27" x14ac:dyDescent="0.3">
      <c r="A120">
        <v>119</v>
      </c>
      <c r="B120" t="str">
        <f t="shared" si="14"/>
        <v>174015848573313230</v>
      </c>
      <c r="C120" t="s">
        <v>27</v>
      </c>
      <c r="D120" t="s">
        <v>28</v>
      </c>
      <c r="E120" t="s">
        <v>29</v>
      </c>
      <c r="F120" t="s">
        <v>30</v>
      </c>
      <c r="G120" t="s">
        <v>486</v>
      </c>
      <c r="H120" t="s">
        <v>487</v>
      </c>
      <c r="I120" t="s">
        <v>488</v>
      </c>
      <c r="J120" t="s">
        <v>35</v>
      </c>
      <c r="K120" t="s">
        <v>35</v>
      </c>
      <c r="L120" t="s">
        <v>489</v>
      </c>
      <c r="M120">
        <v>721904</v>
      </c>
      <c r="N120" t="s">
        <v>35</v>
      </c>
      <c r="O120" t="str">
        <f>"Estimator"</f>
        <v>Estimator</v>
      </c>
      <c r="P120" t="str">
        <f>"Eagle Barricade"</f>
        <v>Eagle Barricade</v>
      </c>
      <c r="Q120" t="str">
        <f>"1-2142903221"</f>
        <v>1-2142903221</v>
      </c>
      <c r="R120" t="str">
        <f>"2162 Country Lane"</f>
        <v>2162 Country Lane</v>
      </c>
      <c r="S120" t="str">
        <f>"Mckinney"</f>
        <v>Mckinney</v>
      </c>
      <c r="T120" t="str">
        <f>"Texas"</f>
        <v>Texas</v>
      </c>
      <c r="U120" t="str">
        <f>"75069"</f>
        <v>75069</v>
      </c>
      <c r="V120" t="s">
        <v>37</v>
      </c>
      <c r="W120" t="str">
        <f>"AGC Member|RHCA Member"</f>
        <v>AGC Member|RHCA Member</v>
      </c>
      <c r="X120" t="str">
        <f>"Yes"</f>
        <v>Yes</v>
      </c>
      <c r="Y120" t="str">
        <f>"Yes"</f>
        <v>Yes</v>
      </c>
      <c r="Z120" t="str">
        <f>"Yes"</f>
        <v>Yes</v>
      </c>
      <c r="AA120" t="str">
        <f>"6"</f>
        <v>6</v>
      </c>
    </row>
    <row r="121" spans="1:27" x14ac:dyDescent="0.3">
      <c r="A121">
        <v>120</v>
      </c>
      <c r="B121" t="str">
        <f t="shared" si="14"/>
        <v>174015848573313230</v>
      </c>
      <c r="C121" t="s">
        <v>27</v>
      </c>
      <c r="D121" t="s">
        <v>28</v>
      </c>
      <c r="E121" t="s">
        <v>29</v>
      </c>
      <c r="F121" t="s">
        <v>30</v>
      </c>
      <c r="G121" t="s">
        <v>490</v>
      </c>
      <c r="H121" t="s">
        <v>491</v>
      </c>
      <c r="I121" t="s">
        <v>492</v>
      </c>
      <c r="J121" t="s">
        <v>35</v>
      </c>
      <c r="K121" t="s">
        <v>34</v>
      </c>
      <c r="L121" t="s">
        <v>493</v>
      </c>
      <c r="M121">
        <v>482052</v>
      </c>
      <c r="N121" t="s">
        <v>34</v>
      </c>
      <c r="O121" t="str">
        <f>"Owner"</f>
        <v>Owner</v>
      </c>
      <c r="P121" t="str">
        <f>"Iconest Civil Works LLC"</f>
        <v>Iconest Civil Works LLC</v>
      </c>
      <c r="Q121" t="str">
        <f>"1-432-803-7811"</f>
        <v>1-432-803-7811</v>
      </c>
      <c r="R121" t="str">
        <f>"3800 E 42nd St Suite 607"</f>
        <v>3800 E 42nd St Suite 607</v>
      </c>
      <c r="S121" t="str">
        <f>"Odessa"</f>
        <v>Odessa</v>
      </c>
      <c r="T121" t="str">
        <f>"Texas"</f>
        <v>Texas</v>
      </c>
      <c r="U121" t="str">
        <f>"79762"</f>
        <v>79762</v>
      </c>
      <c r="V121" t="s">
        <v>37</v>
      </c>
      <c r="W121" t="str">
        <f>"RHCA Member|Guest"</f>
        <v>RHCA Member|Guest</v>
      </c>
      <c r="X121" t="str">
        <f>"Yes"</f>
        <v>Yes</v>
      </c>
      <c r="Y121" t="str">
        <f>"Yes"</f>
        <v>Yes</v>
      </c>
      <c r="Z121" t="str">
        <f>"No"</f>
        <v>No</v>
      </c>
      <c r="AA121" t="str">
        <f>"2 years"</f>
        <v>2 years</v>
      </c>
    </row>
    <row r="122" spans="1:27" x14ac:dyDescent="0.3">
      <c r="A122">
        <v>121</v>
      </c>
      <c r="B122" t="str">
        <f t="shared" si="14"/>
        <v>174015848573313230</v>
      </c>
      <c r="C122" t="s">
        <v>27</v>
      </c>
      <c r="D122" t="s">
        <v>28</v>
      </c>
      <c r="E122" t="s">
        <v>29</v>
      </c>
      <c r="F122" t="s">
        <v>30</v>
      </c>
      <c r="G122" t="s">
        <v>494</v>
      </c>
      <c r="H122" t="s">
        <v>495</v>
      </c>
      <c r="I122" t="s">
        <v>496</v>
      </c>
      <c r="J122" t="s">
        <v>35</v>
      </c>
      <c r="K122" t="s">
        <v>34</v>
      </c>
      <c r="L122" t="s">
        <v>497</v>
      </c>
      <c r="M122">
        <v>839905</v>
      </c>
      <c r="N122" t="s">
        <v>35</v>
      </c>
      <c r="O122" t="str">
        <f>"Senior Project Director"</f>
        <v>Senior Project Director</v>
      </c>
      <c r="P122" t="str">
        <f>"Weaver Consultants Group"</f>
        <v>Weaver Consultants Group</v>
      </c>
      <c r="Q122" t="str">
        <f>"1-8177359770"</f>
        <v>1-8177359770</v>
      </c>
      <c r="R122" t="str">
        <f>"6420 Southwest Boulevard, Suite 206"</f>
        <v>6420 Southwest Boulevard, Suite 206</v>
      </c>
      <c r="S122" t="str">
        <f>"Fort Worth"</f>
        <v>Fort Worth</v>
      </c>
      <c r="T122" t="str">
        <f>"Texas"</f>
        <v>Texas</v>
      </c>
      <c r="U122" t="str">
        <f>"76109"</f>
        <v>76109</v>
      </c>
      <c r="V122" t="s">
        <v>37</v>
      </c>
      <c r="W122" t="str">
        <f>"Guest"</f>
        <v>Guest</v>
      </c>
      <c r="X122" t="str">
        <f>"No"</f>
        <v>No</v>
      </c>
      <c r="Y122" t="str">
        <f>"Yes"</f>
        <v>Yes</v>
      </c>
      <c r="Z122" t="str">
        <f>"Yes"</f>
        <v>Yes</v>
      </c>
      <c r="AA122" t="str">
        <f>"28"</f>
        <v>28</v>
      </c>
    </row>
    <row r="123" spans="1:27" x14ac:dyDescent="0.3">
      <c r="A123">
        <v>122</v>
      </c>
      <c r="B123" t="str">
        <f t="shared" si="14"/>
        <v>174015848573313230</v>
      </c>
      <c r="C123" t="s">
        <v>27</v>
      </c>
      <c r="D123" t="s">
        <v>28</v>
      </c>
      <c r="E123" t="s">
        <v>29</v>
      </c>
      <c r="F123" t="s">
        <v>30</v>
      </c>
      <c r="G123" t="s">
        <v>474</v>
      </c>
      <c r="H123" t="s">
        <v>380</v>
      </c>
      <c r="I123" t="s">
        <v>498</v>
      </c>
      <c r="J123" t="s">
        <v>35</v>
      </c>
      <c r="K123" t="s">
        <v>34</v>
      </c>
      <c r="L123" t="s">
        <v>428</v>
      </c>
      <c r="M123">
        <v>759089</v>
      </c>
      <c r="N123" t="s">
        <v>35</v>
      </c>
      <c r="O123" t="str">
        <f>"CEO/OWNER"</f>
        <v>CEO/OWNER</v>
      </c>
      <c r="P123" t="str">
        <f>"Potere Construction LLC"</f>
        <v>Potere Construction LLC</v>
      </c>
      <c r="Q123" t="str">
        <f>"1-8178292744"</f>
        <v>1-8178292744</v>
      </c>
      <c r="R123" t="str">
        <f>"6825 Manhattan Blvd, 103, Fort Worth, Tx 76120"</f>
        <v>6825 Manhattan Blvd, 103, Fort Worth, Tx 76120</v>
      </c>
      <c r="S123" t="str">
        <f>"Fort Worth"</f>
        <v>Fort Worth</v>
      </c>
      <c r="T123" t="str">
        <f>"TX"</f>
        <v>TX</v>
      </c>
      <c r="U123" t="str">
        <f>"76120"</f>
        <v>76120</v>
      </c>
      <c r="V123" t="s">
        <v>37</v>
      </c>
      <c r="W123" t="str">
        <f>"AGC Member|Guest"</f>
        <v>AGC Member|Guest</v>
      </c>
      <c r="X123" t="str">
        <f>"Yes"</f>
        <v>Yes</v>
      </c>
      <c r="Y123" t="str">
        <f>"Yes"</f>
        <v>Yes</v>
      </c>
      <c r="Z123" t="str">
        <f>"Yes"</f>
        <v>Yes</v>
      </c>
      <c r="AA123" t="str">
        <f>"24"</f>
        <v>24</v>
      </c>
    </row>
    <row r="124" spans="1:27" x14ac:dyDescent="0.3">
      <c r="A124">
        <v>123</v>
      </c>
      <c r="B124" t="str">
        <f t="shared" si="14"/>
        <v>174015848573313230</v>
      </c>
      <c r="C124" t="s">
        <v>27</v>
      </c>
      <c r="D124" t="s">
        <v>28</v>
      </c>
      <c r="E124" t="s">
        <v>29</v>
      </c>
      <c r="F124" t="s">
        <v>30</v>
      </c>
      <c r="G124" t="s">
        <v>499</v>
      </c>
      <c r="H124" t="s">
        <v>500</v>
      </c>
      <c r="I124" t="s">
        <v>501</v>
      </c>
      <c r="J124" t="s">
        <v>35</v>
      </c>
      <c r="K124" t="s">
        <v>35</v>
      </c>
      <c r="L124" t="s">
        <v>502</v>
      </c>
      <c r="M124">
        <v>458507</v>
      </c>
      <c r="N124" t="s">
        <v>34</v>
      </c>
      <c r="O124" t="str">
        <f>"DBE Administrator"</f>
        <v>DBE Administrator</v>
      </c>
      <c r="P124" t="str">
        <f>"North Tarrant Infrastructure llc"</f>
        <v>North Tarrant Infrastructure llc</v>
      </c>
      <c r="Q124" t="str">
        <f>"1-682-367-5685"</f>
        <v>1-682-367-5685</v>
      </c>
      <c r="R124" t="str">
        <f>"13601 North Freeway, Suite 200"</f>
        <v>13601 North Freeway, Suite 200</v>
      </c>
      <c r="S124" t="str">
        <f>"Fort Worth"</f>
        <v>Fort Worth</v>
      </c>
      <c r="T124" t="str">
        <f>"TX"</f>
        <v>TX</v>
      </c>
      <c r="U124" t="str">
        <f>"76177"</f>
        <v>76177</v>
      </c>
      <c r="V124" t="s">
        <v>37</v>
      </c>
      <c r="W124" t="str">
        <f>"AACATX Member|AGC Member|RHCA Member|Guest"</f>
        <v>AACATX Member|AGC Member|RHCA Member|Guest</v>
      </c>
      <c r="X124" t="str">
        <f>"Yes|No"</f>
        <v>Yes|No</v>
      </c>
      <c r="Y124" t="str">
        <f>"Yes|No"</f>
        <v>Yes|No</v>
      </c>
      <c r="Z124" t="str">
        <f>"Yes|No"</f>
        <v>Yes|No</v>
      </c>
      <c r="AA124" t="str">
        <f>"N/A"</f>
        <v>N/A</v>
      </c>
    </row>
    <row r="125" spans="1:27" x14ac:dyDescent="0.3">
      <c r="A125">
        <v>124</v>
      </c>
      <c r="B125" t="str">
        <f t="shared" si="14"/>
        <v>174015848573313230</v>
      </c>
      <c r="C125" t="s">
        <v>27</v>
      </c>
      <c r="D125" t="s">
        <v>28</v>
      </c>
      <c r="E125" t="s">
        <v>29</v>
      </c>
      <c r="F125" t="s">
        <v>30</v>
      </c>
      <c r="G125" t="s">
        <v>503</v>
      </c>
      <c r="H125" t="s">
        <v>504</v>
      </c>
      <c r="I125" t="s">
        <v>505</v>
      </c>
      <c r="J125" t="s">
        <v>35</v>
      </c>
      <c r="K125" t="s">
        <v>35</v>
      </c>
      <c r="L125" t="s">
        <v>506</v>
      </c>
      <c r="M125">
        <v>611047</v>
      </c>
      <c r="N125" t="s">
        <v>35</v>
      </c>
      <c r="O125" t="str">
        <f>"VP - Field Operations"</f>
        <v>VP - Field Operations</v>
      </c>
      <c r="P125" t="str">
        <f>"O. Trevino Construction"</f>
        <v>O. Trevino Construction</v>
      </c>
      <c r="Q125" t="str">
        <f>"1-8173121769"</f>
        <v>1-8173121769</v>
      </c>
      <c r="R125" t="str">
        <f>"PO Box 821909"</f>
        <v>PO Box 821909</v>
      </c>
      <c r="S125" t="str">
        <f>"North Richland Hills"</f>
        <v>North Richland Hills</v>
      </c>
      <c r="T125" t="str">
        <f>"TX"</f>
        <v>TX</v>
      </c>
      <c r="U125" t="str">
        <f>"76182"</f>
        <v>76182</v>
      </c>
      <c r="V125" t="s">
        <v>37</v>
      </c>
      <c r="W125" t="str">
        <f>"Guest"</f>
        <v>Guest</v>
      </c>
      <c r="X125" t="str">
        <f>"Yes"</f>
        <v>Yes</v>
      </c>
      <c r="Y125" t="str">
        <f>"Yes"</f>
        <v>Yes</v>
      </c>
      <c r="Z125" t="str">
        <f>"Yes"</f>
        <v>Yes</v>
      </c>
      <c r="AA125" t="str">
        <f>"31"</f>
        <v>31</v>
      </c>
    </row>
    <row r="126" spans="1:27" x14ac:dyDescent="0.3">
      <c r="A126">
        <v>125</v>
      </c>
      <c r="B126" t="str">
        <f t="shared" si="14"/>
        <v>174015848573313230</v>
      </c>
      <c r="C126" t="s">
        <v>27</v>
      </c>
      <c r="D126" t="s">
        <v>28</v>
      </c>
      <c r="E126" t="s">
        <v>29</v>
      </c>
      <c r="F126" t="s">
        <v>30</v>
      </c>
      <c r="G126" t="s">
        <v>507</v>
      </c>
      <c r="H126" t="s">
        <v>508</v>
      </c>
      <c r="I126" t="s">
        <v>509</v>
      </c>
      <c r="J126" t="s">
        <v>35</v>
      </c>
      <c r="K126" t="s">
        <v>35</v>
      </c>
      <c r="L126" t="s">
        <v>510</v>
      </c>
      <c r="M126">
        <v>213921</v>
      </c>
      <c r="N126" t="s">
        <v>35</v>
      </c>
      <c r="O126" t="str">
        <f>"Diversity Contract Compliance Manager"</f>
        <v>Diversity Contract Compliance Manager</v>
      </c>
      <c r="P126" t="str">
        <f>"North Tarrant Infrastructure, LLc"</f>
        <v>North Tarrant Infrastructure, LLc</v>
      </c>
      <c r="Q126" t="str">
        <f>"1-682-263-9332"</f>
        <v>1-682-263-9332</v>
      </c>
      <c r="R126" t="str">
        <f>"13601 North Freeway, Ste. 200"</f>
        <v>13601 North Freeway, Ste. 200</v>
      </c>
      <c r="S126" t="str">
        <f>"Fort Worth"</f>
        <v>Fort Worth</v>
      </c>
      <c r="T126" t="str">
        <f>"Texas"</f>
        <v>Texas</v>
      </c>
      <c r="U126" t="str">
        <f>"76177"</f>
        <v>76177</v>
      </c>
      <c r="V126" t="s">
        <v>37</v>
      </c>
      <c r="W126" t="str">
        <f>"AACATX Member|AGC Member|RHCA Member"</f>
        <v>AACATX Member|AGC Member|RHCA Member</v>
      </c>
      <c r="X126" t="str">
        <f>"No"</f>
        <v>No</v>
      </c>
      <c r="Y126" t="str">
        <f>"Yes"</f>
        <v>Yes</v>
      </c>
      <c r="Z126" t="str">
        <f>"No"</f>
        <v>No</v>
      </c>
      <c r="AA126" t="str">
        <f>"20"</f>
        <v>20</v>
      </c>
    </row>
    <row r="127" spans="1:27" x14ac:dyDescent="0.3">
      <c r="A127">
        <v>126</v>
      </c>
      <c r="B127" t="str">
        <f t="shared" si="14"/>
        <v>174015848573313230</v>
      </c>
      <c r="C127" t="s">
        <v>27</v>
      </c>
      <c r="D127" t="s">
        <v>28</v>
      </c>
      <c r="E127" t="s">
        <v>29</v>
      </c>
      <c r="F127" t="s">
        <v>30</v>
      </c>
      <c r="G127" t="s">
        <v>383</v>
      </c>
      <c r="H127" t="s">
        <v>333</v>
      </c>
      <c r="I127" t="s">
        <v>511</v>
      </c>
      <c r="J127" t="s">
        <v>35</v>
      </c>
      <c r="K127" t="s">
        <v>35</v>
      </c>
      <c r="L127" t="s">
        <v>512</v>
      </c>
      <c r="M127">
        <v>625700</v>
      </c>
      <c r="N127" t="s">
        <v>35</v>
      </c>
      <c r="O127" t="str">
        <f>"Project Engineer"</f>
        <v>Project Engineer</v>
      </c>
      <c r="P127" t="str">
        <f>"O. Trevino Construction"</f>
        <v>O. Trevino Construction</v>
      </c>
      <c r="Q127" t="str">
        <f>"1-469-559-9790"</f>
        <v>1-469-559-9790</v>
      </c>
      <c r="R127" t="str">
        <f>"P.O. Boz 821909"</f>
        <v>P.O. Boz 821909</v>
      </c>
      <c r="S127" t="str">
        <f>"North Richland Hills"</f>
        <v>North Richland Hills</v>
      </c>
      <c r="T127" t="str">
        <f>"Texas"</f>
        <v>Texas</v>
      </c>
      <c r="U127" t="str">
        <f>"76182"</f>
        <v>76182</v>
      </c>
      <c r="V127" t="s">
        <v>37</v>
      </c>
      <c r="W127" t="str">
        <f>"Guest"</f>
        <v>Guest</v>
      </c>
      <c r="X127" t="str">
        <f>"Yes"</f>
        <v>Yes</v>
      </c>
      <c r="Y127" t="str">
        <f>"Yes"</f>
        <v>Yes</v>
      </c>
      <c r="Z127" t="str">
        <f>"Yes"</f>
        <v>Yes</v>
      </c>
      <c r="AA127" t="str">
        <f>"30"</f>
        <v>30</v>
      </c>
    </row>
    <row r="128" spans="1:27" x14ac:dyDescent="0.3">
      <c r="A128">
        <v>127</v>
      </c>
      <c r="B128" t="str">
        <f t="shared" si="14"/>
        <v>174015848573313230</v>
      </c>
      <c r="C128" t="s">
        <v>27</v>
      </c>
      <c r="D128" t="s">
        <v>28</v>
      </c>
      <c r="E128" t="s">
        <v>29</v>
      </c>
      <c r="F128" t="s">
        <v>30</v>
      </c>
      <c r="G128" t="s">
        <v>513</v>
      </c>
      <c r="H128" t="s">
        <v>514</v>
      </c>
      <c r="I128" t="s">
        <v>515</v>
      </c>
      <c r="J128" t="s">
        <v>35</v>
      </c>
      <c r="K128" t="s">
        <v>35</v>
      </c>
      <c r="L128" t="s">
        <v>516</v>
      </c>
      <c r="M128">
        <v>888648</v>
      </c>
      <c r="N128" t="s">
        <v>35</v>
      </c>
      <c r="O128" t="str">
        <f>"Business Development Manager"</f>
        <v>Business Development Manager</v>
      </c>
      <c r="P128" t="str">
        <f>"Cardinal Strategies, LLC"</f>
        <v>Cardinal Strategies, LLC</v>
      </c>
      <c r="Q128" t="str">
        <f>"1-2147287985"</f>
        <v>1-2147287985</v>
      </c>
      <c r="R128" t="str">
        <f>"2770 Capital Street"</f>
        <v>2770 Capital Street</v>
      </c>
      <c r="S128" t="str">
        <f>"Wylie"</f>
        <v>Wylie</v>
      </c>
      <c r="T128" t="str">
        <f>"TX"</f>
        <v>TX</v>
      </c>
      <c r="U128" t="str">
        <f>"75098"</f>
        <v>75098</v>
      </c>
      <c r="V128" t="s">
        <v>37</v>
      </c>
      <c r="W128" t="str">
        <f>"Guest"</f>
        <v>Guest</v>
      </c>
      <c r="X128" t="str">
        <f>"Yes"</f>
        <v>Yes</v>
      </c>
      <c r="Y128" t="str">
        <f>"No"</f>
        <v>No</v>
      </c>
      <c r="Z128" t="str">
        <f>"No"</f>
        <v>No</v>
      </c>
      <c r="AA128" t="str">
        <f>"15"</f>
        <v>15</v>
      </c>
    </row>
    <row r="129" spans="1:27" x14ac:dyDescent="0.3">
      <c r="A129">
        <v>128</v>
      </c>
      <c r="B129" t="str">
        <f t="shared" si="14"/>
        <v>174015848573313230</v>
      </c>
      <c r="C129" t="s">
        <v>27</v>
      </c>
      <c r="D129" t="s">
        <v>28</v>
      </c>
      <c r="E129" t="s">
        <v>29</v>
      </c>
      <c r="F129" t="s">
        <v>30</v>
      </c>
      <c r="G129" t="s">
        <v>517</v>
      </c>
      <c r="H129" t="s">
        <v>518</v>
      </c>
      <c r="I129" t="s">
        <v>519</v>
      </c>
      <c r="J129" t="s">
        <v>35</v>
      </c>
      <c r="K129" t="s">
        <v>34</v>
      </c>
      <c r="L129" t="s">
        <v>520</v>
      </c>
      <c r="M129">
        <v>356310</v>
      </c>
      <c r="N129" t="s">
        <v>35</v>
      </c>
      <c r="O129" t="str">
        <f>"team leader"</f>
        <v>team leader</v>
      </c>
      <c r="P129" t="str">
        <f>"Advance Service"</f>
        <v>Advance Service</v>
      </c>
      <c r="Q129" t="str">
        <f>"1-2148101241"</f>
        <v>1-2148101241</v>
      </c>
      <c r="R129" t="str">
        <f>"P O Box541092"</f>
        <v>P O Box541092</v>
      </c>
      <c r="S129" t="str">
        <f>"grand prairie"</f>
        <v>grand prairie</v>
      </c>
      <c r="T129" t="str">
        <f>"Texas"</f>
        <v>Texas</v>
      </c>
      <c r="U129" t="str">
        <f>"75054"</f>
        <v>75054</v>
      </c>
      <c r="V129" t="s">
        <v>37</v>
      </c>
      <c r="W129" t="str">
        <f>"RHCA Member"</f>
        <v>RHCA Member</v>
      </c>
      <c r="X129" t="str">
        <f>"Yes"</f>
        <v>Yes</v>
      </c>
      <c r="Y129" t="str">
        <f>"Yes"</f>
        <v>Yes</v>
      </c>
      <c r="Z129" t="str">
        <f>"No"</f>
        <v>No</v>
      </c>
      <c r="AA129" t="str">
        <f>"10"</f>
        <v>10</v>
      </c>
    </row>
    <row r="130" spans="1:27" x14ac:dyDescent="0.3">
      <c r="A130">
        <v>129</v>
      </c>
      <c r="B130" t="str">
        <f t="shared" ref="B130:B146" si="18">"174015848573313230"</f>
        <v>174015848573313230</v>
      </c>
      <c r="C130" t="s">
        <v>27</v>
      </c>
      <c r="D130" t="s">
        <v>28</v>
      </c>
      <c r="E130" t="s">
        <v>29</v>
      </c>
      <c r="F130" t="s">
        <v>30</v>
      </c>
      <c r="G130" t="s">
        <v>521</v>
      </c>
      <c r="H130" t="s">
        <v>522</v>
      </c>
      <c r="I130" t="s">
        <v>523</v>
      </c>
      <c r="J130" t="s">
        <v>35</v>
      </c>
      <c r="K130" t="s">
        <v>34</v>
      </c>
      <c r="L130" t="s">
        <v>524</v>
      </c>
      <c r="M130">
        <v>917064</v>
      </c>
      <c r="N130" t="s">
        <v>35</v>
      </c>
      <c r="O130" t="str">
        <f>"Owner"</f>
        <v>Owner</v>
      </c>
      <c r="P130" t="str">
        <f>"Speed of Light Products QT LLC"</f>
        <v>Speed of Light Products QT LLC</v>
      </c>
      <c r="Q130" t="str">
        <f>"1-2148852096"</f>
        <v>1-2148852096</v>
      </c>
      <c r="R130" t="str">
        <f>"391 Shady Lane Drive # 335, 1220-G Airport Freeway #580, Bedford, TX 76022"</f>
        <v>391 Shady Lane Drive # 335, 1220-G Airport Freeway #580, Bedford, TX 76022</v>
      </c>
      <c r="S130" t="str">
        <f>"Fort Worth"</f>
        <v>Fort Worth</v>
      </c>
      <c r="T130" t="str">
        <f>"TX"</f>
        <v>TX</v>
      </c>
      <c r="U130" t="str">
        <f>"76112"</f>
        <v>76112</v>
      </c>
      <c r="V130" t="s">
        <v>37</v>
      </c>
      <c r="W130" t="str">
        <f>"Guest"</f>
        <v>Guest</v>
      </c>
      <c r="X130" t="str">
        <f>"In the process"</f>
        <v>In the process</v>
      </c>
      <c r="Y130" t="str">
        <f>"No"</f>
        <v>No</v>
      </c>
      <c r="Z130" t="str">
        <f>"No"</f>
        <v>No</v>
      </c>
      <c r="AA130" t="str">
        <f>"1 year and 11 months"</f>
        <v>1 year and 11 months</v>
      </c>
    </row>
    <row r="131" spans="1:27" x14ac:dyDescent="0.3">
      <c r="A131">
        <v>130</v>
      </c>
      <c r="B131" t="str">
        <f t="shared" si="18"/>
        <v>174015848573313230</v>
      </c>
      <c r="C131" t="s">
        <v>27</v>
      </c>
      <c r="D131" t="s">
        <v>28</v>
      </c>
      <c r="E131" t="s">
        <v>29</v>
      </c>
      <c r="F131" t="s">
        <v>30</v>
      </c>
      <c r="G131" t="s">
        <v>125</v>
      </c>
      <c r="H131" t="s">
        <v>354</v>
      </c>
      <c r="I131" t="s">
        <v>525</v>
      </c>
      <c r="J131" t="s">
        <v>35</v>
      </c>
      <c r="K131" t="s">
        <v>34</v>
      </c>
      <c r="L131" t="s">
        <v>526</v>
      </c>
      <c r="M131">
        <v>163295</v>
      </c>
      <c r="N131" t="s">
        <v>35</v>
      </c>
      <c r="O131" t="str">
        <f>"Sr. Vice President"</f>
        <v>Sr. Vice President</v>
      </c>
      <c r="P131" t="str">
        <f>"WILLIAMS CM GROUP LLC"</f>
        <v>WILLIAMS CM GROUP LLC</v>
      </c>
      <c r="Q131" t="str">
        <f>"1-214-727-9143"</f>
        <v>1-214-727-9143</v>
      </c>
      <c r="R131" t="str">
        <f>"400 N. St Paul Street Ste 730"</f>
        <v>400 N. St Paul Street Ste 730</v>
      </c>
      <c r="S131" t="str">
        <f>"Dallas"</f>
        <v>Dallas</v>
      </c>
      <c r="T131" t="str">
        <f>"TX"</f>
        <v>TX</v>
      </c>
      <c r="U131" t="str">
        <f>"75154"</f>
        <v>75154</v>
      </c>
      <c r="V131" t="s">
        <v>37</v>
      </c>
      <c r="W131" t="str">
        <f>"RHCA Member"</f>
        <v>RHCA Member</v>
      </c>
      <c r="X131" t="str">
        <f>"Yes"</f>
        <v>Yes</v>
      </c>
      <c r="Y131" t="str">
        <f>"No"</f>
        <v>No</v>
      </c>
      <c r="Z131" t="str">
        <f>"No"</f>
        <v>No</v>
      </c>
      <c r="AA131" t="str">
        <f>"11"</f>
        <v>11</v>
      </c>
    </row>
    <row r="132" spans="1:27" x14ac:dyDescent="0.3">
      <c r="A132">
        <v>131</v>
      </c>
      <c r="B132" t="str">
        <f t="shared" si="18"/>
        <v>174015848573313230</v>
      </c>
      <c r="C132" t="s">
        <v>27</v>
      </c>
      <c r="D132" t="s">
        <v>28</v>
      </c>
      <c r="E132" t="s">
        <v>29</v>
      </c>
      <c r="F132" t="s">
        <v>30</v>
      </c>
      <c r="G132" t="s">
        <v>232</v>
      </c>
      <c r="H132" t="s">
        <v>527</v>
      </c>
      <c r="I132" t="s">
        <v>528</v>
      </c>
      <c r="J132" t="s">
        <v>35</v>
      </c>
      <c r="K132" t="s">
        <v>34</v>
      </c>
      <c r="L132" t="s">
        <v>529</v>
      </c>
      <c r="M132">
        <v>655252</v>
      </c>
      <c r="N132" t="s">
        <v>35</v>
      </c>
      <c r="O132" t="str">
        <f>"Sales Director"</f>
        <v>Sales Director</v>
      </c>
      <c r="P132" t="str">
        <f>"Cargo Lift USA"</f>
        <v>Cargo Lift USA</v>
      </c>
      <c r="Q132" t="str">
        <f>"1-2145513237"</f>
        <v>1-2145513237</v>
      </c>
      <c r="R132" t="str">
        <f>"985 TX-121 Business"</f>
        <v>985 TX-121 Business</v>
      </c>
      <c r="S132" t="str">
        <f>"Lewisville"</f>
        <v>Lewisville</v>
      </c>
      <c r="T132" t="str">
        <f>"Texas"</f>
        <v>Texas</v>
      </c>
      <c r="U132" t="str">
        <f>"75057"</f>
        <v>75057</v>
      </c>
      <c r="V132" t="s">
        <v>37</v>
      </c>
      <c r="W132" t="str">
        <f>"Guest"</f>
        <v>Guest</v>
      </c>
      <c r="X132" t="str">
        <f>"No"</f>
        <v>No</v>
      </c>
      <c r="Y132" t="str">
        <f>"No"</f>
        <v>No</v>
      </c>
      <c r="Z132" t="str">
        <f>"No"</f>
        <v>No</v>
      </c>
      <c r="AA132" t="str">
        <f>"1"</f>
        <v>1</v>
      </c>
    </row>
    <row r="133" spans="1:27" x14ac:dyDescent="0.3">
      <c r="A133">
        <v>132</v>
      </c>
      <c r="B133" t="str">
        <f t="shared" si="18"/>
        <v>174015848573313230</v>
      </c>
      <c r="C133" t="s">
        <v>27</v>
      </c>
      <c r="D133" t="s">
        <v>28</v>
      </c>
      <c r="E133" t="s">
        <v>29</v>
      </c>
      <c r="F133" t="s">
        <v>30</v>
      </c>
      <c r="G133" t="s">
        <v>530</v>
      </c>
      <c r="H133" t="s">
        <v>531</v>
      </c>
      <c r="I133" t="s">
        <v>532</v>
      </c>
      <c r="J133" t="s">
        <v>35</v>
      </c>
      <c r="K133" t="s">
        <v>34</v>
      </c>
      <c r="L133" t="s">
        <v>533</v>
      </c>
      <c r="M133">
        <v>875819</v>
      </c>
      <c r="N133" t="s">
        <v>35</v>
      </c>
      <c r="O133" t="str">
        <f>"Account Exeuctive"</f>
        <v>Account Exeuctive</v>
      </c>
      <c r="P133" t="str">
        <f>"Workforce Solutuions Greater Dallas"</f>
        <v>Workforce Solutuions Greater Dallas</v>
      </c>
      <c r="Q133" t="str">
        <f>"1-290-1019"</f>
        <v>1-290-1019</v>
      </c>
      <c r="R133" t="str">
        <f>"500 N Akard"</f>
        <v>500 N Akard</v>
      </c>
      <c r="S133" t="str">
        <f>"Dallas"</f>
        <v>Dallas</v>
      </c>
      <c r="T133" t="str">
        <f>"TX"</f>
        <v>TX</v>
      </c>
      <c r="U133" t="str">
        <f>"75201"</f>
        <v>75201</v>
      </c>
      <c r="V133" t="s">
        <v>37</v>
      </c>
      <c r="W133" t="str">
        <f>"RHCA Member"</f>
        <v>RHCA Member</v>
      </c>
      <c r="X133" t="str">
        <f>"No"</f>
        <v>No</v>
      </c>
      <c r="Y133" t="str">
        <f>"Yes"</f>
        <v>Yes</v>
      </c>
      <c r="Z133" t="str">
        <f>"Yes"</f>
        <v>Yes</v>
      </c>
      <c r="AA133" t="str">
        <f>"36"</f>
        <v>36</v>
      </c>
    </row>
    <row r="134" spans="1:27" x14ac:dyDescent="0.3">
      <c r="A134">
        <v>133</v>
      </c>
      <c r="B134" t="str">
        <f t="shared" si="18"/>
        <v>174015848573313230</v>
      </c>
      <c r="C134" t="s">
        <v>27</v>
      </c>
      <c r="D134" t="s">
        <v>28</v>
      </c>
      <c r="E134" t="s">
        <v>29</v>
      </c>
      <c r="F134" t="s">
        <v>30</v>
      </c>
      <c r="G134" t="s">
        <v>534</v>
      </c>
      <c r="H134" t="s">
        <v>535</v>
      </c>
      <c r="I134" t="s">
        <v>536</v>
      </c>
      <c r="J134" t="s">
        <v>35</v>
      </c>
      <c r="K134" t="s">
        <v>35</v>
      </c>
      <c r="L134" t="s">
        <v>537</v>
      </c>
      <c r="M134">
        <v>426528</v>
      </c>
      <c r="N134" t="s">
        <v>35</v>
      </c>
      <c r="O134" t="str">
        <f>"Owner"</f>
        <v>Owner</v>
      </c>
      <c r="P134" t="str">
        <f>"Thompson's Transit Services, LLC"</f>
        <v>Thompson's Transit Services, LLC</v>
      </c>
      <c r="Q134" t="str">
        <f>"1-15122037434"</f>
        <v>1-15122037434</v>
      </c>
      <c r="R134" t="str">
        <f>"421 Falcon Lane"</f>
        <v>421 Falcon Lane</v>
      </c>
      <c r="S134" t="str">
        <f>"Leander"</f>
        <v>Leander</v>
      </c>
      <c r="T134" t="str">
        <f>"Texas"</f>
        <v>Texas</v>
      </c>
      <c r="U134" t="str">
        <f>"78641"</f>
        <v>78641</v>
      </c>
      <c r="V134" t="s">
        <v>37</v>
      </c>
      <c r="W134" t="str">
        <f>"Guest"</f>
        <v>Guest</v>
      </c>
      <c r="X134" t="str">
        <f>"Yes"</f>
        <v>Yes</v>
      </c>
      <c r="Y134" t="str">
        <f>"No"</f>
        <v>No</v>
      </c>
      <c r="Z134" t="str">
        <f>"No"</f>
        <v>No</v>
      </c>
      <c r="AA134" t="str">
        <f>"0"</f>
        <v>0</v>
      </c>
    </row>
    <row r="135" spans="1:27" x14ac:dyDescent="0.3">
      <c r="A135">
        <v>134</v>
      </c>
      <c r="B135" t="str">
        <f t="shared" si="18"/>
        <v>174015848573313230</v>
      </c>
      <c r="C135" t="s">
        <v>27</v>
      </c>
      <c r="D135" t="s">
        <v>28</v>
      </c>
      <c r="E135" t="s">
        <v>29</v>
      </c>
      <c r="F135" t="s">
        <v>30</v>
      </c>
      <c r="G135" t="s">
        <v>118</v>
      </c>
      <c r="H135" t="s">
        <v>538</v>
      </c>
      <c r="I135" t="s">
        <v>539</v>
      </c>
      <c r="J135" t="s">
        <v>35</v>
      </c>
      <c r="K135" t="s">
        <v>35</v>
      </c>
      <c r="L135" t="s">
        <v>540</v>
      </c>
      <c r="M135">
        <v>752981</v>
      </c>
      <c r="N135" t="s">
        <v>35</v>
      </c>
      <c r="O135" t="str">
        <f>"VP of Project Management"</f>
        <v>VP of Project Management</v>
      </c>
      <c r="P135" t="str">
        <f>"Falcon Project Consultants"</f>
        <v>Falcon Project Consultants</v>
      </c>
      <c r="Q135" t="str">
        <f>"1-7134256497"</f>
        <v>1-7134256497</v>
      </c>
      <c r="R135" t="str">
        <f>"700 Milam Suite 1300"</f>
        <v>700 Milam Suite 1300</v>
      </c>
      <c r="S135" t="str">
        <f>"Houston"</f>
        <v>Houston</v>
      </c>
      <c r="T135" t="str">
        <f>"TX"</f>
        <v>TX</v>
      </c>
      <c r="U135" t="str">
        <f>"77002"</f>
        <v>77002</v>
      </c>
      <c r="V135" t="s">
        <v>37</v>
      </c>
      <c r="W135" t="str">
        <f>"AACATX Member|AGC Member|RHCA Member"</f>
        <v>AACATX Member|AGC Member|RHCA Member</v>
      </c>
      <c r="X135" t="str">
        <f>"Yes"</f>
        <v>Yes</v>
      </c>
      <c r="Y135" t="str">
        <f>"Yes|No"</f>
        <v>Yes|No</v>
      </c>
      <c r="Z135" t="str">
        <f>"Yes|No"</f>
        <v>Yes|No</v>
      </c>
      <c r="AA135" t="str">
        <f>"5"</f>
        <v>5</v>
      </c>
    </row>
    <row r="136" spans="1:27" x14ac:dyDescent="0.3">
      <c r="A136">
        <v>135</v>
      </c>
      <c r="B136" t="str">
        <f t="shared" si="18"/>
        <v>174015848573313230</v>
      </c>
      <c r="C136" t="s">
        <v>27</v>
      </c>
      <c r="D136" t="s">
        <v>28</v>
      </c>
      <c r="E136" t="s">
        <v>29</v>
      </c>
      <c r="F136" t="s">
        <v>30</v>
      </c>
      <c r="G136" t="s">
        <v>541</v>
      </c>
      <c r="H136" t="s">
        <v>542</v>
      </c>
      <c r="I136" t="s">
        <v>543</v>
      </c>
      <c r="J136" t="s">
        <v>35</v>
      </c>
      <c r="K136" t="s">
        <v>34</v>
      </c>
      <c r="L136" t="s">
        <v>544</v>
      </c>
      <c r="M136">
        <v>723295</v>
      </c>
      <c r="N136" t="s">
        <v>35</v>
      </c>
      <c r="O136" t="str">
        <f>"President"</f>
        <v>President</v>
      </c>
      <c r="P136" t="str">
        <f>"Ballard Gold Group"</f>
        <v>Ballard Gold Group</v>
      </c>
      <c r="Q136" t="str">
        <f>"1-8888347301"</f>
        <v>1-8888347301</v>
      </c>
      <c r="R136" t="str">
        <f>"2707 Realty Road Suite 300"</f>
        <v>2707 Realty Road Suite 300</v>
      </c>
      <c r="S136" t="str">
        <f>"Carrollton"</f>
        <v>Carrollton</v>
      </c>
      <c r="T136" t="str">
        <f>"Texas"</f>
        <v>Texas</v>
      </c>
      <c r="U136" t="str">
        <f>"75006"</f>
        <v>75006</v>
      </c>
      <c r="V136" t="s">
        <v>37</v>
      </c>
      <c r="W136" t="str">
        <f>"AACATX Member|AGC Member|RHCA Member|Guest"</f>
        <v>AACATX Member|AGC Member|RHCA Member|Guest</v>
      </c>
      <c r="X136" t="str">
        <f>"No"</f>
        <v>No</v>
      </c>
      <c r="Y136" t="str">
        <f>"No"</f>
        <v>No</v>
      </c>
      <c r="Z136" t="str">
        <f>"No"</f>
        <v>No</v>
      </c>
      <c r="AA136" t="str">
        <f>"10"</f>
        <v>10</v>
      </c>
    </row>
    <row r="137" spans="1:27" x14ac:dyDescent="0.3">
      <c r="A137">
        <v>136</v>
      </c>
      <c r="B137" t="str">
        <f t="shared" si="18"/>
        <v>174015848573313230</v>
      </c>
      <c r="C137" t="s">
        <v>27</v>
      </c>
      <c r="D137" t="s">
        <v>28</v>
      </c>
      <c r="E137" t="s">
        <v>29</v>
      </c>
      <c r="F137" t="s">
        <v>30</v>
      </c>
      <c r="G137" t="s">
        <v>545</v>
      </c>
      <c r="H137" t="s">
        <v>546</v>
      </c>
      <c r="I137" t="s">
        <v>547</v>
      </c>
      <c r="J137" t="s">
        <v>35</v>
      </c>
      <c r="K137" t="s">
        <v>34</v>
      </c>
      <c r="L137" t="s">
        <v>548</v>
      </c>
      <c r="M137">
        <v>793339</v>
      </c>
      <c r="N137" t="s">
        <v>35</v>
      </c>
      <c r="O137" t="str">
        <f>"Employee Relations Manager"</f>
        <v>Employee Relations Manager</v>
      </c>
      <c r="P137" t="str">
        <f>"Covalent Resource Group, LLC"</f>
        <v>Covalent Resource Group, LLC</v>
      </c>
      <c r="Q137" t="str">
        <f>"1-15862210575"</f>
        <v>1-15862210575</v>
      </c>
      <c r="R137" t="str">
        <f>"100 Northbound Gratiot Avenue"</f>
        <v>100 Northbound Gratiot Avenue</v>
      </c>
      <c r="S137" t="str">
        <f>"Mount Clemens"</f>
        <v>Mount Clemens</v>
      </c>
      <c r="T137" t="str">
        <f>"MI"</f>
        <v>MI</v>
      </c>
      <c r="U137" t="str">
        <f>"48043"</f>
        <v>48043</v>
      </c>
      <c r="V137" t="s">
        <v>37</v>
      </c>
      <c r="W137" t="str">
        <f>"Guest"</f>
        <v>Guest</v>
      </c>
      <c r="X137" t="str">
        <f>"Yes"</f>
        <v>Yes</v>
      </c>
      <c r="Y137" t="str">
        <f t="shared" ref="Y137:Z139" si="19">"No"</f>
        <v>No</v>
      </c>
      <c r="Z137" t="str">
        <f t="shared" si="19"/>
        <v>No</v>
      </c>
      <c r="AA137" t="str">
        <f>"2"</f>
        <v>2</v>
      </c>
    </row>
    <row r="138" spans="1:27" x14ac:dyDescent="0.3">
      <c r="A138">
        <v>137</v>
      </c>
      <c r="B138" t="str">
        <f t="shared" si="18"/>
        <v>174015848573313230</v>
      </c>
      <c r="C138" t="s">
        <v>27</v>
      </c>
      <c r="D138" t="s">
        <v>28</v>
      </c>
      <c r="E138" t="s">
        <v>29</v>
      </c>
      <c r="F138" t="s">
        <v>30</v>
      </c>
      <c r="G138" t="s">
        <v>549</v>
      </c>
      <c r="H138" t="s">
        <v>354</v>
      </c>
      <c r="I138" t="s">
        <v>550</v>
      </c>
      <c r="J138" t="s">
        <v>35</v>
      </c>
      <c r="K138" t="s">
        <v>34</v>
      </c>
      <c r="L138" t="s">
        <v>551</v>
      </c>
      <c r="M138">
        <v>460475</v>
      </c>
      <c r="N138" t="s">
        <v>35</v>
      </c>
      <c r="O138" t="str">
        <f>"CEP"</f>
        <v>CEP</v>
      </c>
      <c r="P138" t="str">
        <f>"Wiga Inc"</f>
        <v>Wiga Inc</v>
      </c>
      <c r="Q138" t="str">
        <f>"1-703-867-4613"</f>
        <v>1-703-867-4613</v>
      </c>
      <c r="R138" t="str">
        <f>"5001 Brentwood Stair Rd, Ste 202"</f>
        <v>5001 Brentwood Stair Rd, Ste 202</v>
      </c>
      <c r="S138" t="str">
        <f>"Fort Worth"</f>
        <v>Fort Worth</v>
      </c>
      <c r="T138" t="str">
        <f>"TX"</f>
        <v>TX</v>
      </c>
      <c r="U138" t="str">
        <f>"76112"</f>
        <v>76112</v>
      </c>
      <c r="V138" t="s">
        <v>37</v>
      </c>
      <c r="W138" t="str">
        <f>"Guest"</f>
        <v>Guest</v>
      </c>
      <c r="X138" t="str">
        <f>"Yes"</f>
        <v>Yes</v>
      </c>
      <c r="Y138" t="str">
        <f t="shared" si="19"/>
        <v>No</v>
      </c>
      <c r="Z138" t="str">
        <f t="shared" si="19"/>
        <v>No</v>
      </c>
      <c r="AA138" t="str">
        <f>"2"</f>
        <v>2</v>
      </c>
    </row>
    <row r="139" spans="1:27" x14ac:dyDescent="0.3">
      <c r="A139">
        <v>138</v>
      </c>
      <c r="B139" t="str">
        <f t="shared" si="18"/>
        <v>174015848573313230</v>
      </c>
      <c r="C139" t="s">
        <v>27</v>
      </c>
      <c r="D139" t="s">
        <v>28</v>
      </c>
      <c r="E139" t="s">
        <v>29</v>
      </c>
      <c r="F139" t="s">
        <v>30</v>
      </c>
      <c r="G139" t="s">
        <v>552</v>
      </c>
      <c r="H139" t="s">
        <v>553</v>
      </c>
      <c r="I139" t="s">
        <v>554</v>
      </c>
      <c r="J139" t="s">
        <v>35</v>
      </c>
      <c r="K139" t="s">
        <v>34</v>
      </c>
      <c r="L139" t="s">
        <v>555</v>
      </c>
      <c r="M139">
        <v>209383</v>
      </c>
      <c r="N139" t="s">
        <v>35</v>
      </c>
      <c r="O139" t="str">
        <f>"Engineer"</f>
        <v>Engineer</v>
      </c>
      <c r="P139" t="str">
        <f>"DRGeoES,LLC"</f>
        <v>DRGeoES,LLC</v>
      </c>
      <c r="Q139" t="str">
        <f>"1-3187808292"</f>
        <v>1-3187808292</v>
      </c>
      <c r="R139" t="str">
        <f>"1438 Crescent Drive"</f>
        <v>1438 Crescent Drive</v>
      </c>
      <c r="S139" t="str">
        <f>"Carrollton"</f>
        <v>Carrollton</v>
      </c>
      <c r="T139" t="str">
        <f>"TX"</f>
        <v>TX</v>
      </c>
      <c r="U139" t="str">
        <f>"75006"</f>
        <v>75006</v>
      </c>
      <c r="V139" t="s">
        <v>37</v>
      </c>
      <c r="W139" t="str">
        <f>"RHCA Member"</f>
        <v>RHCA Member</v>
      </c>
      <c r="X139" t="str">
        <f>"Yes"</f>
        <v>Yes</v>
      </c>
      <c r="Y139" t="str">
        <f t="shared" si="19"/>
        <v>No</v>
      </c>
      <c r="Z139" t="str">
        <f t="shared" si="19"/>
        <v>No</v>
      </c>
      <c r="AA139" t="str">
        <f>"We are doing business for 10 years.."</f>
        <v>We are doing business for 10 years..</v>
      </c>
    </row>
    <row r="140" spans="1:27" x14ac:dyDescent="0.3">
      <c r="A140">
        <v>139</v>
      </c>
      <c r="B140" t="str">
        <f t="shared" si="18"/>
        <v>174015848573313230</v>
      </c>
      <c r="C140" t="s">
        <v>27</v>
      </c>
      <c r="D140" t="s">
        <v>28</v>
      </c>
      <c r="E140" t="s">
        <v>29</v>
      </c>
      <c r="F140" t="s">
        <v>30</v>
      </c>
      <c r="G140" t="s">
        <v>556</v>
      </c>
      <c r="H140" t="s">
        <v>557</v>
      </c>
      <c r="I140" t="s">
        <v>558</v>
      </c>
      <c r="J140" t="s">
        <v>35</v>
      </c>
      <c r="K140" t="s">
        <v>34</v>
      </c>
      <c r="L140" t="s">
        <v>559</v>
      </c>
      <c r="M140">
        <v>640099</v>
      </c>
      <c r="N140" t="s">
        <v>35</v>
      </c>
      <c r="O140" t="str">
        <f>"President"</f>
        <v>President</v>
      </c>
      <c r="P140" t="str">
        <f>"PRECISE TRUCKS LLC"</f>
        <v>PRECISE TRUCKS LLC</v>
      </c>
      <c r="Q140" t="str">
        <f>"1-9728033696"</f>
        <v>1-9728033696</v>
      </c>
      <c r="R140" t="str">
        <f>"2665 VILLA CREEK DRIVE STE 250"</f>
        <v>2665 VILLA CREEK DRIVE STE 250</v>
      </c>
      <c r="S140" t="str">
        <f>"DALLAS"</f>
        <v>DALLAS</v>
      </c>
      <c r="T140" t="str">
        <f>"TX"</f>
        <v>TX</v>
      </c>
      <c r="U140" t="str">
        <f>"75234"</f>
        <v>75234</v>
      </c>
      <c r="V140" t="s">
        <v>37</v>
      </c>
      <c r="W140" t="str">
        <f>"Guest"</f>
        <v>Guest</v>
      </c>
      <c r="X140" t="str">
        <f>"Yes"</f>
        <v>Yes</v>
      </c>
      <c r="Y140" t="str">
        <f>"Yes"</f>
        <v>Yes</v>
      </c>
      <c r="Z140" t="str">
        <f>"No"</f>
        <v>No</v>
      </c>
      <c r="AA140" t="str">
        <f>"6"</f>
        <v>6</v>
      </c>
    </row>
    <row r="141" spans="1:27" x14ac:dyDescent="0.3">
      <c r="A141">
        <v>140</v>
      </c>
      <c r="B141" t="str">
        <f t="shared" si="18"/>
        <v>174015848573313230</v>
      </c>
      <c r="C141" t="s">
        <v>27</v>
      </c>
      <c r="D141" t="s">
        <v>28</v>
      </c>
      <c r="E141" t="s">
        <v>29</v>
      </c>
      <c r="F141" t="s">
        <v>30</v>
      </c>
      <c r="G141" t="s">
        <v>560</v>
      </c>
      <c r="H141" t="s">
        <v>561</v>
      </c>
      <c r="I141" t="s">
        <v>562</v>
      </c>
      <c r="J141" t="s">
        <v>35</v>
      </c>
      <c r="K141" t="s">
        <v>34</v>
      </c>
      <c r="L141" t="s">
        <v>563</v>
      </c>
      <c r="M141">
        <v>426637</v>
      </c>
      <c r="N141" t="s">
        <v>35</v>
      </c>
      <c r="O141" t="str">
        <f>"Territory Account Representative"</f>
        <v>Territory Account Representative</v>
      </c>
      <c r="P141" t="str">
        <f>"www.gmcocorp.com"</f>
        <v>www.gmcocorp.com</v>
      </c>
      <c r="Q141" t="str">
        <f>"1-2148979118"</f>
        <v>1-2148979118</v>
      </c>
      <c r="R141" t="str">
        <f>"2117 Remington Dr"</f>
        <v>2117 Remington Dr</v>
      </c>
      <c r="S141" t="str">
        <f>"Flower Mound"</f>
        <v>Flower Mound</v>
      </c>
      <c r="T141" t="str">
        <f>"Texas"</f>
        <v>Texas</v>
      </c>
      <c r="U141" t="str">
        <f>"75028"</f>
        <v>75028</v>
      </c>
      <c r="V141" t="s">
        <v>37</v>
      </c>
      <c r="W141" t="str">
        <f>"AGC Member"</f>
        <v>AGC Member</v>
      </c>
      <c r="X141" t="str">
        <f>"Yes"</f>
        <v>Yes</v>
      </c>
      <c r="Y141" t="str">
        <f>"Yes"</f>
        <v>Yes</v>
      </c>
      <c r="Z141" t="str">
        <f>"Yes"</f>
        <v>Yes</v>
      </c>
      <c r="AA141" t="str">
        <f>"56"</f>
        <v>56</v>
      </c>
    </row>
    <row r="142" spans="1:27" x14ac:dyDescent="0.3">
      <c r="A142">
        <v>141</v>
      </c>
      <c r="B142" t="str">
        <f t="shared" si="18"/>
        <v>174015848573313230</v>
      </c>
      <c r="C142" t="s">
        <v>27</v>
      </c>
      <c r="D142" t="s">
        <v>28</v>
      </c>
      <c r="E142" t="s">
        <v>29</v>
      </c>
      <c r="F142" t="s">
        <v>30</v>
      </c>
      <c r="G142" t="s">
        <v>564</v>
      </c>
      <c r="H142" t="s">
        <v>565</v>
      </c>
      <c r="I142" t="s">
        <v>566</v>
      </c>
      <c r="J142" t="s">
        <v>35</v>
      </c>
      <c r="K142" t="s">
        <v>35</v>
      </c>
      <c r="L142" t="s">
        <v>567</v>
      </c>
      <c r="M142">
        <v>353282</v>
      </c>
      <c r="N142" t="s">
        <v>34</v>
      </c>
      <c r="O142" t="str">
        <f>"Senior Corridor Manager"</f>
        <v>Senior Corridor Manager</v>
      </c>
      <c r="P142" t="str">
        <f>"North Texas Tollway Authority"</f>
        <v>North Texas Tollway Authority</v>
      </c>
      <c r="Q142" t="str">
        <f>"1-"</f>
        <v>1-</v>
      </c>
      <c r="R142" t="str">
        <f>"5900 West Plano Pkwy"</f>
        <v>5900 West Plano Pkwy</v>
      </c>
      <c r="S142" t="str">
        <f>"Plano"</f>
        <v>Plano</v>
      </c>
      <c r="T142" t="str">
        <f>"TX"</f>
        <v>TX</v>
      </c>
      <c r="U142" t="str">
        <f>"75093"</f>
        <v>75093</v>
      </c>
      <c r="V142" t="s">
        <v>37</v>
      </c>
      <c r="W142" t="str">
        <f>"Guest"</f>
        <v>Guest</v>
      </c>
      <c r="X142" t="str">
        <f>"No"</f>
        <v>No</v>
      </c>
      <c r="Y142" t="str">
        <f>"Yes"</f>
        <v>Yes</v>
      </c>
      <c r="Z142" t="str">
        <f>"Yes"</f>
        <v>Yes</v>
      </c>
      <c r="AA142" t="str">
        <f>"54"</f>
        <v>54</v>
      </c>
    </row>
    <row r="143" spans="1:27" x14ac:dyDescent="0.3">
      <c r="A143">
        <v>142</v>
      </c>
      <c r="B143" t="str">
        <f t="shared" si="18"/>
        <v>174015848573313230</v>
      </c>
      <c r="C143" t="s">
        <v>27</v>
      </c>
      <c r="D143" t="s">
        <v>28</v>
      </c>
      <c r="E143" t="s">
        <v>29</v>
      </c>
      <c r="F143" t="s">
        <v>30</v>
      </c>
      <c r="G143" t="s">
        <v>568</v>
      </c>
      <c r="H143" t="s">
        <v>569</v>
      </c>
      <c r="I143" t="s">
        <v>570</v>
      </c>
      <c r="J143" t="s">
        <v>35</v>
      </c>
      <c r="K143" t="s">
        <v>35</v>
      </c>
      <c r="L143" t="s">
        <v>571</v>
      </c>
      <c r="M143">
        <v>543292</v>
      </c>
      <c r="N143" t="s">
        <v>34</v>
      </c>
      <c r="O143" t="str">
        <f>"Director of Business Diversity"</f>
        <v>Director of Business Diversity</v>
      </c>
      <c r="P143" t="str">
        <f>"NTTA"</f>
        <v>NTTA</v>
      </c>
      <c r="Q143" t="str">
        <f>"1-"</f>
        <v>1-</v>
      </c>
      <c r="R143" t="str">
        <f>"5900 W. Plano Pkwy, Suite 100"</f>
        <v>5900 W. Plano Pkwy, Suite 100</v>
      </c>
      <c r="S143" t="str">
        <f>"Plano"</f>
        <v>Plano</v>
      </c>
      <c r="T143" t="str">
        <f>"Texas"</f>
        <v>Texas</v>
      </c>
      <c r="U143" t="str">
        <f>"75093"</f>
        <v>75093</v>
      </c>
      <c r="V143" t="s">
        <v>37</v>
      </c>
      <c r="W143" t="str">
        <f>"AACATX Member|AGC Member|RHCA Member"</f>
        <v>AACATX Member|AGC Member|RHCA Member</v>
      </c>
      <c r="X143" t="str">
        <f>"No"</f>
        <v>No</v>
      </c>
      <c r="Y143" t="str">
        <f t="shared" ref="Y143:Z145" si="20">"No"</f>
        <v>No</v>
      </c>
      <c r="Z143" t="str">
        <f t="shared" si="20"/>
        <v>No</v>
      </c>
      <c r="AA143" t="str">
        <f>"23"</f>
        <v>23</v>
      </c>
    </row>
    <row r="144" spans="1:27" x14ac:dyDescent="0.3">
      <c r="A144">
        <v>143</v>
      </c>
      <c r="B144" t="str">
        <f t="shared" si="18"/>
        <v>174015848573313230</v>
      </c>
      <c r="C144" t="s">
        <v>27</v>
      </c>
      <c r="D144" t="s">
        <v>28</v>
      </c>
      <c r="E144" t="s">
        <v>29</v>
      </c>
      <c r="F144" t="s">
        <v>30</v>
      </c>
      <c r="G144" t="s">
        <v>572</v>
      </c>
      <c r="H144" t="s">
        <v>573</v>
      </c>
      <c r="I144" t="s">
        <v>574</v>
      </c>
      <c r="J144" t="s">
        <v>35</v>
      </c>
      <c r="K144" t="s">
        <v>35</v>
      </c>
      <c r="L144" t="s">
        <v>575</v>
      </c>
      <c r="M144">
        <v>878961</v>
      </c>
      <c r="N144" t="s">
        <v>34</v>
      </c>
      <c r="O144" t="str">
        <f>"Procurement Analyst"</f>
        <v>Procurement Analyst</v>
      </c>
      <c r="P144" t="str">
        <f>"NTTA"</f>
        <v>NTTA</v>
      </c>
      <c r="Q144" t="str">
        <f>"1-"</f>
        <v>1-</v>
      </c>
      <c r="R144" t="str">
        <f>"5900 W. Plano Parkway"</f>
        <v>5900 W. Plano Parkway</v>
      </c>
      <c r="S144" t="str">
        <f>"Plano"</f>
        <v>Plano</v>
      </c>
      <c r="T144" t="str">
        <f>"Tx"</f>
        <v>Tx</v>
      </c>
      <c r="U144" t="str">
        <f>"75093"</f>
        <v>75093</v>
      </c>
      <c r="V144" t="s">
        <v>37</v>
      </c>
      <c r="W144" t="str">
        <f>"Guest"</f>
        <v>Guest</v>
      </c>
      <c r="X144" t="str">
        <f>"No"</f>
        <v>No</v>
      </c>
      <c r="Y144" t="str">
        <f t="shared" si="20"/>
        <v>No</v>
      </c>
      <c r="Z144" t="str">
        <f t="shared" si="20"/>
        <v>No</v>
      </c>
      <c r="AA144" t="str">
        <f>"n/a"</f>
        <v>n/a</v>
      </c>
    </row>
    <row r="145" spans="1:27" x14ac:dyDescent="0.3">
      <c r="A145">
        <v>144</v>
      </c>
      <c r="B145" t="str">
        <f t="shared" si="18"/>
        <v>174015848573313230</v>
      </c>
      <c r="C145" t="s">
        <v>27</v>
      </c>
      <c r="D145" t="s">
        <v>28</v>
      </c>
      <c r="E145" t="s">
        <v>29</v>
      </c>
      <c r="F145" t="s">
        <v>30</v>
      </c>
      <c r="G145" t="s">
        <v>576</v>
      </c>
      <c r="H145" t="s">
        <v>577</v>
      </c>
      <c r="I145" t="s">
        <v>578</v>
      </c>
      <c r="J145" t="s">
        <v>35</v>
      </c>
      <c r="K145" t="s">
        <v>35</v>
      </c>
      <c r="L145" t="s">
        <v>579</v>
      </c>
      <c r="M145">
        <v>743831</v>
      </c>
      <c r="N145" t="s">
        <v>35</v>
      </c>
      <c r="O145" t="str">
        <f>"Business Diversity Outreach Specialist"</f>
        <v>Business Diversity Outreach Specialist</v>
      </c>
      <c r="P145" t="str">
        <f>"NTTA"</f>
        <v>NTTA</v>
      </c>
      <c r="Q145" t="str">
        <f>"1-"</f>
        <v>1-</v>
      </c>
      <c r="R145" t="str">
        <f>"5900"</f>
        <v>5900</v>
      </c>
      <c r="S145" t="str">
        <f>"Plano"</f>
        <v>Plano</v>
      </c>
      <c r="T145" t="str">
        <f>"TX"</f>
        <v>TX</v>
      </c>
      <c r="U145" t="str">
        <f>"75093"</f>
        <v>75093</v>
      </c>
      <c r="V145" t="s">
        <v>37</v>
      </c>
      <c r="W145" t="str">
        <f>"Guest"</f>
        <v>Guest</v>
      </c>
      <c r="X145" t="str">
        <f>"No"</f>
        <v>No</v>
      </c>
      <c r="Y145" t="str">
        <f t="shared" si="20"/>
        <v>No</v>
      </c>
      <c r="Z145" t="str">
        <f t="shared" si="20"/>
        <v>No</v>
      </c>
      <c r="AA145" t="str">
        <f>"23"</f>
        <v>23</v>
      </c>
    </row>
    <row r="146" spans="1:27" x14ac:dyDescent="0.3">
      <c r="A146">
        <v>145</v>
      </c>
      <c r="B146" t="str">
        <f t="shared" si="18"/>
        <v>174015848573313230</v>
      </c>
      <c r="C146" t="s">
        <v>27</v>
      </c>
      <c r="D146" t="s">
        <v>28</v>
      </c>
      <c r="E146" t="s">
        <v>29</v>
      </c>
      <c r="F146" t="s">
        <v>30</v>
      </c>
      <c r="G146" t="s">
        <v>580</v>
      </c>
      <c r="H146" t="s">
        <v>354</v>
      </c>
      <c r="I146" t="s">
        <v>581</v>
      </c>
      <c r="J146" t="s">
        <v>35</v>
      </c>
      <c r="K146" t="s">
        <v>35</v>
      </c>
      <c r="L146" t="s">
        <v>582</v>
      </c>
      <c r="M146">
        <v>315147</v>
      </c>
      <c r="N146" t="s">
        <v>34</v>
      </c>
      <c r="O146" t="str">
        <f>"DBE Coordinator"</f>
        <v>DBE Coordinator</v>
      </c>
      <c r="P146" t="str">
        <f>"PLC"</f>
        <v>PLC</v>
      </c>
      <c r="Q146" t="str">
        <f>"1-"</f>
        <v>1-</v>
      </c>
      <c r="R146" t="str">
        <f>"160 Continental Avenue"</f>
        <v>160 Continental Avenue</v>
      </c>
      <c r="S146" t="str">
        <f>"Desoto"</f>
        <v>Desoto</v>
      </c>
      <c r="T146" t="str">
        <f>"TX"</f>
        <v>TX</v>
      </c>
      <c r="U146" t="str">
        <f>"75207"</f>
        <v>75207</v>
      </c>
      <c r="V146" t="s">
        <v>37</v>
      </c>
      <c r="W146" t="str">
        <f>"AGC Member|Guest"</f>
        <v>AGC Member|Guest</v>
      </c>
      <c r="X146" t="str">
        <f>"No"</f>
        <v>No</v>
      </c>
      <c r="Y146" t="str">
        <f>"Yes"</f>
        <v>Yes</v>
      </c>
      <c r="Z146" t="str">
        <f>"Yes"</f>
        <v>Yes</v>
      </c>
      <c r="AA146" t="str">
        <f>"30"</f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RegistrationDetailedReport20201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Wells</dc:creator>
  <cp:lastModifiedBy>Debra Wells</cp:lastModifiedBy>
  <dcterms:created xsi:type="dcterms:W3CDTF">2020-11-13T20:58:52Z</dcterms:created>
  <dcterms:modified xsi:type="dcterms:W3CDTF">2020-11-13T20:58:52Z</dcterms:modified>
</cp:coreProperties>
</file>