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tkimmey\Documents\Documents\North Texas Ops\Operations\Projects\TxDOT - US 380\Economics\Tax Rev Impacts\"/>
    </mc:Choice>
  </mc:AlternateContent>
  <xr:revisionPtr revIDLastSave="0" documentId="8_{E9D426F8-FD90-4EE5-A157-95D43F8CBFB3}" xr6:coauthVersionLast="43" xr6:coauthVersionMax="43" xr10:uidLastSave="{00000000-0000-0000-0000-000000000000}"/>
  <bookViews>
    <workbookView xWindow="3630" yWindow="3630" windowWidth="21600" windowHeight="11385" xr2:uid="{00000000-000D-0000-FFFF-FFFF00000000}"/>
  </bookViews>
  <sheets>
    <sheet name="Summary" sheetId="7" r:id="rId1"/>
    <sheet name="Frisco Tax Impacts" sheetId="6" r:id="rId2"/>
    <sheet name="Prosper Tax Impacts" sheetId="5" r:id="rId3"/>
    <sheet name="McKinney Tax Impacts" sheetId="1" r:id="rId4"/>
    <sheet name="Princeton Tax Impacts" sheetId="2" r:id="rId5"/>
    <sheet name="Farmersville Tax Impacts" sheetId="4" r:id="rId6"/>
  </sheets>
  <definedNames>
    <definedName name="_xlnm.Print_Area" localSheetId="0">Summary!$A$1:$I$18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7" l="1"/>
  <c r="G34" i="7"/>
  <c r="G33" i="7"/>
  <c r="G32" i="7"/>
  <c r="G31" i="7"/>
  <c r="G30" i="7"/>
  <c r="G29" i="7"/>
  <c r="G28" i="7"/>
  <c r="G36" i="7" s="1"/>
  <c r="G27" i="7"/>
  <c r="G26" i="7"/>
  <c r="D35" i="7"/>
  <c r="D34" i="7"/>
  <c r="F34" i="7" s="1"/>
  <c r="D33" i="7"/>
  <c r="D32" i="7"/>
  <c r="D31" i="7"/>
  <c r="D30" i="7"/>
  <c r="E30" i="7" s="1"/>
  <c r="D29" i="7"/>
  <c r="D28" i="7"/>
  <c r="D27" i="7"/>
  <c r="D26" i="7"/>
  <c r="C35" i="7"/>
  <c r="C34" i="7"/>
  <c r="C33" i="7"/>
  <c r="F33" i="7" s="1"/>
  <c r="C32" i="7"/>
  <c r="C31" i="7"/>
  <c r="F31" i="7" s="1"/>
  <c r="C30" i="7"/>
  <c r="C29" i="7"/>
  <c r="I29" i="7" s="1"/>
  <c r="C28" i="7"/>
  <c r="C26" i="7"/>
  <c r="C36" i="7" s="1"/>
  <c r="B35" i="7"/>
  <c r="H35" i="7" s="1"/>
  <c r="B34" i="7"/>
  <c r="B33" i="7"/>
  <c r="B32" i="7"/>
  <c r="B31" i="7"/>
  <c r="E31" i="7" s="1"/>
  <c r="B30" i="7"/>
  <c r="B29" i="7"/>
  <c r="B28" i="7"/>
  <c r="B36" i="7" s="1"/>
  <c r="B26" i="7"/>
  <c r="H26" i="7" s="1"/>
  <c r="I26" i="7" s="1"/>
  <c r="I35" i="7"/>
  <c r="F35" i="7"/>
  <c r="I34" i="7"/>
  <c r="H34" i="7"/>
  <c r="H33" i="7"/>
  <c r="E33" i="7"/>
  <c r="I31" i="7"/>
  <c r="H31" i="7"/>
  <c r="I30" i="7"/>
  <c r="H30" i="7"/>
  <c r="F30" i="7"/>
  <c r="H29" i="7"/>
  <c r="F29" i="7"/>
  <c r="E29" i="7"/>
  <c r="I33" i="7" l="1"/>
  <c r="I28" i="7"/>
  <c r="E34" i="7"/>
  <c r="F32" i="7"/>
  <c r="I36" i="7"/>
  <c r="H36" i="7"/>
  <c r="I32" i="7"/>
  <c r="E28" i="7"/>
  <c r="E32" i="7"/>
  <c r="D36" i="7"/>
  <c r="E36" i="7" s="1"/>
  <c r="F28" i="7"/>
  <c r="F26" i="7"/>
  <c r="E35" i="7"/>
  <c r="H28" i="7"/>
  <c r="H32" i="7"/>
  <c r="E26" i="7"/>
  <c r="D19" i="4"/>
  <c r="C19" i="4"/>
  <c r="D15" i="6"/>
  <c r="C10" i="1"/>
  <c r="C21" i="1"/>
  <c r="B11" i="1"/>
  <c r="C11" i="1" s="1"/>
  <c r="E18" i="2"/>
  <c r="D18" i="2"/>
  <c r="E10" i="2"/>
  <c r="D10" i="2"/>
  <c r="C10" i="2"/>
  <c r="C19" i="2"/>
  <c r="E19" i="2" s="1"/>
  <c r="C10" i="4"/>
  <c r="E10" i="4" s="1"/>
  <c r="E13" i="5"/>
  <c r="D12" i="5"/>
  <c r="C10" i="5"/>
  <c r="D10" i="5" s="1"/>
  <c r="E9" i="5"/>
  <c r="D9" i="5"/>
  <c r="B54" i="6"/>
  <c r="C37" i="6"/>
  <c r="C35" i="6"/>
  <c r="C34" i="6"/>
  <c r="D13" i="6"/>
  <c r="C13" i="6"/>
  <c r="D12" i="6"/>
  <c r="C12" i="6"/>
  <c r="F36" i="7" l="1"/>
  <c r="E10" i="5"/>
  <c r="E11" i="5" s="1"/>
  <c r="E14" i="5" s="1"/>
  <c r="D19" i="2"/>
  <c r="C14" i="6"/>
  <c r="D14" i="6"/>
  <c r="D16" i="6" s="1"/>
  <c r="D10" i="4"/>
  <c r="D11" i="5"/>
  <c r="D14" i="5" s="1"/>
  <c r="C11" i="5"/>
  <c r="B53" i="6"/>
  <c r="C54" i="6" l="1"/>
  <c r="D53" i="6"/>
  <c r="D54" i="6"/>
  <c r="C53" i="6"/>
  <c r="H9" i="7"/>
  <c r="I9" i="7" s="1"/>
  <c r="F9" i="7"/>
  <c r="E9" i="7"/>
  <c r="I12" i="7" l="1"/>
  <c r="H12" i="7"/>
  <c r="I11" i="7"/>
  <c r="H11" i="7"/>
  <c r="H18" i="7"/>
  <c r="I18" i="7"/>
  <c r="H17" i="7"/>
  <c r="I17" i="7"/>
  <c r="I16" i="7"/>
  <c r="H16" i="7"/>
  <c r="I15" i="7"/>
  <c r="H15" i="7"/>
  <c r="I14" i="7"/>
  <c r="H14" i="7"/>
  <c r="I13" i="7"/>
  <c r="H13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C20" i="1" l="1"/>
  <c r="E15" i="1"/>
  <c r="E25" i="1"/>
  <c r="C33" i="5" l="1"/>
  <c r="C45" i="2"/>
  <c r="C34" i="2"/>
  <c r="C43" i="4"/>
  <c r="C33" i="4"/>
  <c r="E22" i="4" l="1"/>
  <c r="E23" i="4" s="1"/>
  <c r="D21" i="4"/>
  <c r="E13" i="4"/>
  <c r="E22" i="2"/>
  <c r="E13" i="2"/>
  <c r="D21" i="2"/>
  <c r="D12" i="4"/>
  <c r="D12" i="2"/>
  <c r="C32" i="5"/>
  <c r="C34" i="5" s="1"/>
  <c r="C35" i="5" s="1"/>
  <c r="E9" i="4"/>
  <c r="E11" i="4" s="1"/>
  <c r="D9" i="4"/>
  <c r="D11" i="4" s="1"/>
  <c r="C42" i="4"/>
  <c r="C44" i="4" s="1"/>
  <c r="C45" i="4" s="1"/>
  <c r="C32" i="4"/>
  <c r="C34" i="4" s="1"/>
  <c r="C35" i="4" s="1"/>
  <c r="C18" i="4"/>
  <c r="E9" i="2"/>
  <c r="D9" i="2"/>
  <c r="C31" i="2"/>
  <c r="B51" i="5" l="1"/>
  <c r="B50" i="4"/>
  <c r="C50" i="4" s="1"/>
  <c r="E14" i="4"/>
  <c r="D20" i="2"/>
  <c r="D14" i="4"/>
  <c r="E18" i="4"/>
  <c r="D18" i="4"/>
  <c r="C44" i="2"/>
  <c r="C46" i="2" s="1"/>
  <c r="C47" i="2" s="1"/>
  <c r="C33" i="2"/>
  <c r="C35" i="2" s="1"/>
  <c r="C36" i="2" s="1"/>
  <c r="E11" i="2"/>
  <c r="E14" i="2" s="1"/>
  <c r="E20" i="2"/>
  <c r="E23" i="2" s="1"/>
  <c r="D11" i="2"/>
  <c r="D52" i="5" l="1"/>
  <c r="C52" i="5"/>
  <c r="B52" i="2"/>
  <c r="B53" i="2"/>
  <c r="D51" i="5"/>
  <c r="C51" i="5"/>
  <c r="B52" i="5"/>
  <c r="D20" i="4"/>
  <c r="D50" i="4"/>
  <c r="D23" i="2"/>
  <c r="D14" i="2"/>
  <c r="D23" i="4" l="1"/>
  <c r="B51" i="4"/>
  <c r="B54" i="2"/>
  <c r="D52" i="2"/>
  <c r="C52" i="2"/>
  <c r="D53" i="2"/>
  <c r="C53" i="2"/>
  <c r="D51" i="4" l="1"/>
  <c r="C51" i="4"/>
  <c r="D24" i="1" l="1"/>
  <c r="D14" i="1"/>
  <c r="C45" i="1" l="1"/>
  <c r="C44" i="1"/>
  <c r="D21" i="1" l="1"/>
  <c r="E21" i="1"/>
  <c r="D20" i="1"/>
  <c r="E20" i="1"/>
  <c r="C47" i="1"/>
  <c r="C49" i="1" s="1"/>
  <c r="C50" i="1" s="1"/>
  <c r="C23" i="1"/>
  <c r="E23" i="1" l="1"/>
  <c r="E26" i="1" s="1"/>
  <c r="D23" i="1"/>
  <c r="C34" i="1"/>
  <c r="C33" i="1"/>
  <c r="D26" i="1" l="1"/>
  <c r="B56" i="1"/>
  <c r="C36" i="1"/>
  <c r="C38" i="1" s="1"/>
  <c r="C39" i="1" s="1"/>
  <c r="C56" i="1"/>
  <c r="D56" i="1"/>
  <c r="D11" i="1" l="1"/>
  <c r="E11" i="1"/>
  <c r="D10" i="1"/>
  <c r="E10" i="1"/>
  <c r="C13" i="1"/>
  <c r="E13" i="1" l="1"/>
  <c r="E16" i="1" s="1"/>
  <c r="D13" i="1"/>
  <c r="D16" i="1" l="1"/>
  <c r="B55" i="1"/>
  <c r="D55" i="1" s="1"/>
  <c r="C55" i="1" l="1"/>
  <c r="B57" i="1"/>
</calcChain>
</file>

<file path=xl/sharedStrings.xml><?xml version="1.0" encoding="utf-8"?>
<sst xmlns="http://schemas.openxmlformats.org/spreadsheetml/2006/main" count="356" uniqueCount="105">
  <si>
    <t>Full Take</t>
  </si>
  <si>
    <t>Partial Take</t>
  </si>
  <si>
    <t>Sum</t>
  </si>
  <si>
    <t>Full Take of Parcel</t>
  </si>
  <si>
    <t>Partial Take of Parcel</t>
  </si>
  <si>
    <t>Green Corridor</t>
  </si>
  <si>
    <t>Coit Road to FM 1827</t>
  </si>
  <si>
    <t>Impacts to Commercial Businesses</t>
  </si>
  <si>
    <t>Potential impacts to Property and Sales Taxes</t>
  </si>
  <si>
    <t>Certified Assessed Value</t>
  </si>
  <si>
    <t>of impacted parcels</t>
  </si>
  <si>
    <t>Calculation to Remove</t>
  </si>
  <si>
    <t>50% for partial takes</t>
  </si>
  <si>
    <t>Red Corridor</t>
  </si>
  <si>
    <t>Reference:</t>
  </si>
  <si>
    <t xml:space="preserve">City of McKinney overall assessed value of all property </t>
  </si>
  <si>
    <t>City of McKinney official budget property tax forecast</t>
  </si>
  <si>
    <t>Total square footage of commercial buildings in McKinney</t>
  </si>
  <si>
    <t>City of McKinney official budget sales tax forecast</t>
  </si>
  <si>
    <t>PROPERTY TAX ANALYSIS</t>
  </si>
  <si>
    <t>SALES TAX ANALYSIS</t>
  </si>
  <si>
    <t>Square Footage of buildings</t>
  </si>
  <si>
    <t>on impacted parcels</t>
  </si>
  <si>
    <t>Percentage Reduction applied to anticipated sales tax</t>
  </si>
  <si>
    <t>TOTALS</t>
  </si>
  <si>
    <t>Green Corridor:</t>
  </si>
  <si>
    <t>Red Corridor:</t>
  </si>
  <si>
    <t>City of McKinney</t>
  </si>
  <si>
    <t>Ratio of Red to Green</t>
  </si>
  <si>
    <t>Current Property Tax Revenue for City of McKinney</t>
  </si>
  <si>
    <t xml:space="preserve">Percentage Reduction due to Green Corridor </t>
  </si>
  <si>
    <t>Percentage Reduction due to Red Corridor</t>
  </si>
  <si>
    <t>Citywide Square Footage of Commercial Properties</t>
  </si>
  <si>
    <t>Percentage Reduction due to Green Corridor</t>
  </si>
  <si>
    <t>Percentage of property and sales tax combined</t>
  </si>
  <si>
    <t>City of McKinney official budget total revenue forecast:</t>
  </si>
  <si>
    <t>Percentage of overall budget revenue</t>
  </si>
  <si>
    <t>Property Taxes</t>
  </si>
  <si>
    <t>McKinney ISD</t>
  </si>
  <si>
    <t>City of Princeton</t>
  </si>
  <si>
    <t>Princeton ISD</t>
  </si>
  <si>
    <t>Current Property Tax Revenue for City of Princeton</t>
  </si>
  <si>
    <t>City of Farmersville</t>
  </si>
  <si>
    <t>Current Property Tax Revenue for City of Farmersville</t>
  </si>
  <si>
    <t>City of Farmersville official budget property tax forecast</t>
  </si>
  <si>
    <t>City of Farmersville official budget sales tax forecast</t>
  </si>
  <si>
    <t>City of Farmersville official budget total revenue forecast:</t>
  </si>
  <si>
    <t>Total square footage of commercial buildings in Farmersville</t>
  </si>
  <si>
    <t>Farmersville ISD</t>
  </si>
  <si>
    <t>Green Corridor/Red Corridor (Same)</t>
  </si>
  <si>
    <t>City of Prosper</t>
  </si>
  <si>
    <t>Prosper ISD</t>
  </si>
  <si>
    <t>Current Property Tax Revenue for City of Prosper</t>
  </si>
  <si>
    <t>City of Prosper official budget property tax forecast</t>
  </si>
  <si>
    <t>City of Prosper official budget sales tax forecast</t>
  </si>
  <si>
    <t>City of Prosper official budget total revenue forecast:</t>
  </si>
  <si>
    <t>Total square footage of commercial buildings in Prosper</t>
  </si>
  <si>
    <t>City of Princeton official budget property tax forecast</t>
  </si>
  <si>
    <t>City of Princeton official budget sales tax forecast</t>
  </si>
  <si>
    <t>Total square footage of commercial buildings in Princeton</t>
  </si>
  <si>
    <t>Prosper ISD official budget property tax forecast</t>
  </si>
  <si>
    <t>McKinney ISD official budget property tax forecast</t>
  </si>
  <si>
    <t>Farmersville ISD official budget property tax forecast</t>
  </si>
  <si>
    <t>Current Property Tax Revenue for Princeton ISD</t>
  </si>
  <si>
    <t>Current Property Tax Revenue for Farmersville ISD</t>
  </si>
  <si>
    <t>Same as Green in Prosper</t>
  </si>
  <si>
    <t>Current Property Tax Revenue for Prosper ISD</t>
  </si>
  <si>
    <t>N/A</t>
  </si>
  <si>
    <t>http://www.farmersvilletx.com/government/financial_transparency/city_budgets/docs/Budget%20Workshop%208-28-2018%20For%20Website.pdf</t>
  </si>
  <si>
    <t>https://princetontx.gov/wp-content/uploads/2017/05/FY2018-Annual-Budget.pdf</t>
  </si>
  <si>
    <t>Princeton ISD official budget property tax forecast</t>
  </si>
  <si>
    <t>https://www.princetonisd.net/cms/lib/TX01001410/Centricity/Domain/3/Budget%2017-18%20Web%20Page.pdf</t>
  </si>
  <si>
    <t>City of Princeton official budget total revenue forecast</t>
  </si>
  <si>
    <t>https://www.prosper-isd.net/Page/5101</t>
  </si>
  <si>
    <t>https://www.prospertx.gov/wp-content/uploads/TOP-Adopted-Budget-17-18.pdf</t>
  </si>
  <si>
    <t>https://www.farmersvilleisd.net/apps/pages/index.jsp?uREC_ID=445947&amp;type=d&amp;pREC_ID=961733</t>
  </si>
  <si>
    <t>https://www.mckinneytexas.org/ArchiveCenter/ViewFile/Item/2022</t>
  </si>
  <si>
    <t>https://www.mckinneyisd.net/business-finance/financial-transparency/</t>
  </si>
  <si>
    <t>Current Property Tax Revenue for McKinney ISD</t>
  </si>
  <si>
    <t>Potential reductions to city tax revenues</t>
  </si>
  <si>
    <t>Frisco</t>
  </si>
  <si>
    <t>Green</t>
  </si>
  <si>
    <t>Red</t>
  </si>
  <si>
    <t>2019 Forecasts</t>
  </si>
  <si>
    <t>Amount</t>
  </si>
  <si>
    <t>% PST</t>
  </si>
  <si>
    <t>% TR</t>
  </si>
  <si>
    <t>Total Revenue (TR)</t>
  </si>
  <si>
    <t>Property &amp; Sales Taxes 
(PST)</t>
  </si>
  <si>
    <t>Municipality</t>
  </si>
  <si>
    <t>2019 Property &amp; Sales Tax Impacts*</t>
  </si>
  <si>
    <t>*Impacts if ALL needed ROW was acquired during 2019</t>
  </si>
  <si>
    <t>City of Frisco</t>
  </si>
  <si>
    <t>Frisco ISD</t>
  </si>
  <si>
    <t>Frisco ISD only touches US 380 in Denton County</t>
  </si>
  <si>
    <t>No commercial properties would be taken. No sales tax impacts.</t>
  </si>
  <si>
    <t>Frisco ISD does not have any impacted parcels along US 380.</t>
  </si>
  <si>
    <t>10% for partial takes</t>
  </si>
  <si>
    <t>Current Property Tax Revenue for City of Frisco</t>
  </si>
  <si>
    <t>Same as Green in Frisco</t>
  </si>
  <si>
    <t>City of Frisco official budget property tax forecast</t>
  </si>
  <si>
    <t>City of Frisco official budget sales tax forecast</t>
  </si>
  <si>
    <t>City of Frisco official budget total revenue forecast:</t>
  </si>
  <si>
    <t>https://www.friscotexas.gov/DocumentCenter/View/16829/FY19-Annual-Budget</t>
  </si>
  <si>
    <t>USE SOME VERIONS OF THE BELOW SPREADHSHEET FOR THE PI BOARDS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</si>
</sst>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0.00000%"/>
    <numFmt numFmtId="166" formatCode="0.0"/>
    <numFmt numFmtId="167" formatCode="0.000%"/>
    <numFmt numFmtId="168" formatCode="&quot;$&quot;#,##0.00"/>
    <numFmt numFmtId="169" formatCode="&quot;$&quot;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7C8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26">
    <xf numFmtId="0" fontId="0" fillId="0" borderId="0" xfId="0"/>
    <xf numFmtId="44" fontId="0" fillId="0" borderId="0" xfId="1" applyFont="1"/>
    <xf numFmtId="0" fontId="0" fillId="0" borderId="0" xfId="0" applyFont="1"/>
    <xf numFmtId="44" fontId="0" fillId="0" borderId="0" xfId="0" applyNumberFormat="1" applyFont="1"/>
    <xf numFmtId="44" fontId="5" fillId="0" borderId="0" xfId="1" applyFont="1"/>
    <xf numFmtId="44" fontId="0" fillId="0" borderId="0" xfId="1" applyFont="1" applyFill="1"/>
    <xf numFmtId="0" fontId="2" fillId="0" borderId="0" xfId="0" applyFont="1"/>
    <xf numFmtId="0" fontId="2" fillId="2" borderId="3" xfId="0" applyFont="1" applyFill="1" applyBorder="1"/>
    <xf numFmtId="44" fontId="2" fillId="2" borderId="4" xfId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3" xfId="0" applyFont="1" applyFill="1" applyBorder="1"/>
    <xf numFmtId="44" fontId="2" fillId="3" borderId="4" xfId="1" applyFont="1" applyFill="1" applyBorder="1" applyAlignment="1">
      <alignment horizontal="center"/>
    </xf>
    <xf numFmtId="0" fontId="2" fillId="3" borderId="6" xfId="0" applyFont="1" applyFill="1" applyBorder="1" applyAlignment="1">
      <alignment horizontal="left"/>
    </xf>
    <xf numFmtId="44" fontId="2" fillId="3" borderId="2" xfId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6" fillId="0" borderId="0" xfId="0" applyFont="1"/>
    <xf numFmtId="0" fontId="2" fillId="2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3" borderId="8" xfId="0" applyFont="1" applyFill="1" applyBorder="1"/>
    <xf numFmtId="43" fontId="0" fillId="3" borderId="1" xfId="3" applyFont="1" applyFill="1" applyBorder="1"/>
    <xf numFmtId="43" fontId="0" fillId="3" borderId="9" xfId="3" applyFont="1" applyFill="1" applyBorder="1"/>
    <xf numFmtId="43" fontId="4" fillId="3" borderId="9" xfId="3" applyFont="1" applyFill="1" applyBorder="1"/>
    <xf numFmtId="0" fontId="0" fillId="3" borderId="10" xfId="0" applyFont="1" applyFill="1" applyBorder="1" applyAlignment="1">
      <alignment wrapText="1"/>
    </xf>
    <xf numFmtId="44" fontId="0" fillId="3" borderId="11" xfId="1" applyFont="1" applyFill="1" applyBorder="1"/>
    <xf numFmtId="44" fontId="4" fillId="3" borderId="12" xfId="0" applyNumberFormat="1" applyFont="1" applyFill="1" applyBorder="1"/>
    <xf numFmtId="0" fontId="0" fillId="2" borderId="8" xfId="0" applyFont="1" applyFill="1" applyBorder="1"/>
    <xf numFmtId="43" fontId="0" fillId="2" borderId="1" xfId="3" applyFont="1" applyFill="1" applyBorder="1"/>
    <xf numFmtId="43" fontId="0" fillId="2" borderId="9" xfId="3" applyFont="1" applyFill="1" applyBorder="1"/>
    <xf numFmtId="0" fontId="0" fillId="2" borderId="10" xfId="0" applyFont="1" applyFill="1" applyBorder="1" applyAlignment="1">
      <alignment wrapText="1"/>
    </xf>
    <xf numFmtId="44" fontId="0" fillId="2" borderId="11" xfId="1" applyFont="1" applyFill="1" applyBorder="1"/>
    <xf numFmtId="44" fontId="0" fillId="3" borderId="1" xfId="1" applyFont="1" applyFill="1" applyBorder="1"/>
    <xf numFmtId="0" fontId="0" fillId="3" borderId="10" xfId="0" applyFont="1" applyFill="1" applyBorder="1"/>
    <xf numFmtId="44" fontId="0" fillId="2" borderId="1" xfId="1" applyFont="1" applyFill="1" applyBorder="1"/>
    <xf numFmtId="44" fontId="0" fillId="2" borderId="1" xfId="0" applyNumberFormat="1" applyFont="1" applyFill="1" applyBorder="1"/>
    <xf numFmtId="0" fontId="0" fillId="2" borderId="1" xfId="0" applyFont="1" applyFill="1" applyBorder="1"/>
    <xf numFmtId="0" fontId="0" fillId="2" borderId="10" xfId="0" applyFont="1" applyFill="1" applyBorder="1"/>
    <xf numFmtId="43" fontId="0" fillId="0" borderId="0" xfId="3" applyFont="1" applyFill="1"/>
    <xf numFmtId="10" fontId="4" fillId="3" borderId="9" xfId="2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13" xfId="0" applyFont="1" applyFill="1" applyBorder="1"/>
    <xf numFmtId="0" fontId="0" fillId="0" borderId="15" xfId="0" applyFont="1" applyFill="1" applyBorder="1"/>
    <xf numFmtId="166" fontId="0" fillId="0" borderId="16" xfId="1" applyNumberFormat="1" applyFont="1" applyBorder="1"/>
    <xf numFmtId="0" fontId="0" fillId="0" borderId="0" xfId="0" applyFont="1" applyAlignment="1">
      <alignment horizontal="right"/>
    </xf>
    <xf numFmtId="44" fontId="0" fillId="2" borderId="9" xfId="0" applyNumberFormat="1" applyFont="1" applyFill="1" applyBorder="1" applyAlignment="1">
      <alignment horizontal="right"/>
    </xf>
    <xf numFmtId="0" fontId="0" fillId="2" borderId="9" xfId="0" applyFont="1" applyFill="1" applyBorder="1" applyAlignment="1">
      <alignment horizontal="right"/>
    </xf>
    <xf numFmtId="44" fontId="4" fillId="3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4" fillId="3" borderId="12" xfId="2" applyNumberFormat="1" applyFont="1" applyFill="1" applyBorder="1" applyAlignment="1">
      <alignment horizontal="right"/>
    </xf>
    <xf numFmtId="167" fontId="0" fillId="2" borderId="14" xfId="2" applyNumberFormat="1" applyFont="1" applyFill="1" applyBorder="1" applyAlignment="1">
      <alignment horizontal="right"/>
    </xf>
    <xf numFmtId="167" fontId="0" fillId="3" borderId="12" xfId="2" applyNumberFormat="1" applyFont="1" applyFill="1" applyBorder="1" applyAlignment="1">
      <alignment horizontal="right"/>
    </xf>
    <xf numFmtId="44" fontId="0" fillId="2" borderId="17" xfId="1" applyFont="1" applyFill="1" applyBorder="1"/>
    <xf numFmtId="44" fontId="0" fillId="3" borderId="18" xfId="1" applyFont="1" applyFill="1" applyBorder="1"/>
    <xf numFmtId="165" fontId="0" fillId="2" borderId="13" xfId="2" applyNumberFormat="1" applyFont="1" applyFill="1" applyBorder="1"/>
    <xf numFmtId="165" fontId="0" fillId="3" borderId="10" xfId="2" applyNumberFormat="1" applyFont="1" applyFill="1" applyBorder="1"/>
    <xf numFmtId="0" fontId="3" fillId="0" borderId="0" xfId="0" applyFont="1"/>
    <xf numFmtId="44" fontId="3" fillId="0" borderId="0" xfId="1" applyFont="1"/>
    <xf numFmtId="0" fontId="8" fillId="0" borderId="0" xfId="0" applyFont="1"/>
    <xf numFmtId="0" fontId="9" fillId="2" borderId="3" xfId="0" applyFont="1" applyFill="1" applyBorder="1"/>
    <xf numFmtId="44" fontId="9" fillId="2" borderId="4" xfId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0" borderId="0" xfId="0" applyFont="1"/>
    <xf numFmtId="0" fontId="9" fillId="2" borderId="6" xfId="0" applyFont="1" applyFill="1" applyBorder="1" applyAlignment="1">
      <alignment horizontal="left"/>
    </xf>
    <xf numFmtId="44" fontId="9" fillId="2" borderId="2" xfId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3" fillId="2" borderId="8" xfId="0" applyFont="1" applyFill="1" applyBorder="1"/>
    <xf numFmtId="44" fontId="3" fillId="2" borderId="1" xfId="1" applyFont="1" applyFill="1" applyBorder="1"/>
    <xf numFmtId="44" fontId="3" fillId="2" borderId="1" xfId="0" applyNumberFormat="1" applyFont="1" applyFill="1" applyBorder="1"/>
    <xf numFmtId="44" fontId="3" fillId="2" borderId="9" xfId="0" applyNumberFormat="1" applyFont="1" applyFill="1" applyBorder="1" applyAlignment="1">
      <alignment horizontal="right"/>
    </xf>
    <xf numFmtId="0" fontId="3" fillId="2" borderId="1" xfId="0" applyFont="1" applyFill="1" applyBorder="1"/>
    <xf numFmtId="44" fontId="9" fillId="2" borderId="9" xfId="0" applyNumberFormat="1" applyFont="1" applyFill="1" applyBorder="1" applyAlignment="1">
      <alignment horizontal="right"/>
    </xf>
    <xf numFmtId="0" fontId="3" fillId="2" borderId="10" xfId="0" applyFont="1" applyFill="1" applyBorder="1"/>
    <xf numFmtId="44" fontId="3" fillId="2" borderId="11" xfId="1" applyFont="1" applyFill="1" applyBorder="1"/>
    <xf numFmtId="0" fontId="3" fillId="2" borderId="11" xfId="0" applyFont="1" applyFill="1" applyBorder="1"/>
    <xf numFmtId="164" fontId="9" fillId="2" borderId="12" xfId="2" applyNumberFormat="1" applyFont="1" applyFill="1" applyBorder="1" applyAlignment="1">
      <alignment horizontal="right"/>
    </xf>
    <xf numFmtId="0" fontId="9" fillId="3" borderId="3" xfId="0" applyFont="1" applyFill="1" applyBorder="1"/>
    <xf numFmtId="44" fontId="9" fillId="3" borderId="4" xfId="1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left"/>
    </xf>
    <xf numFmtId="44" fontId="9" fillId="3" borderId="2" xfId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 vertical="center"/>
    </xf>
    <xf numFmtId="0" fontId="3" fillId="3" borderId="8" xfId="0" applyFont="1" applyFill="1" applyBorder="1"/>
    <xf numFmtId="44" fontId="3" fillId="3" borderId="1" xfId="1" applyFont="1" applyFill="1" applyBorder="1"/>
    <xf numFmtId="44" fontId="3" fillId="3" borderId="1" xfId="0" applyNumberFormat="1" applyFont="1" applyFill="1" applyBorder="1"/>
    <xf numFmtId="44" fontId="3" fillId="3" borderId="9" xfId="0" applyNumberFormat="1" applyFont="1" applyFill="1" applyBorder="1" applyAlignment="1">
      <alignment horizontal="right"/>
    </xf>
    <xf numFmtId="0" fontId="3" fillId="3" borderId="1" xfId="0" applyFont="1" applyFill="1" applyBorder="1"/>
    <xf numFmtId="0" fontId="3" fillId="3" borderId="9" xfId="0" applyFont="1" applyFill="1" applyBorder="1" applyAlignment="1">
      <alignment horizontal="right"/>
    </xf>
    <xf numFmtId="44" fontId="9" fillId="3" borderId="9" xfId="0" applyNumberFormat="1" applyFont="1" applyFill="1" applyBorder="1" applyAlignment="1">
      <alignment horizontal="right"/>
    </xf>
    <xf numFmtId="0" fontId="3" fillId="3" borderId="10" xfId="0" applyFont="1" applyFill="1" applyBorder="1"/>
    <xf numFmtId="44" fontId="3" fillId="3" borderId="11" xfId="1" applyFont="1" applyFill="1" applyBorder="1"/>
    <xf numFmtId="0" fontId="3" fillId="3" borderId="11" xfId="0" applyFont="1" applyFill="1" applyBorder="1"/>
    <xf numFmtId="164" fontId="9" fillId="3" borderId="12" xfId="2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43" fontId="3" fillId="2" borderId="1" xfId="3" applyFont="1" applyFill="1" applyBorder="1"/>
    <xf numFmtId="43" fontId="3" fillId="2" borderId="9" xfId="3" applyFont="1" applyFill="1" applyBorder="1"/>
    <xf numFmtId="43" fontId="9" fillId="2" borderId="9" xfId="3" applyFont="1" applyFill="1" applyBorder="1"/>
    <xf numFmtId="43" fontId="3" fillId="3" borderId="9" xfId="3" applyFont="1" applyFill="1" applyBorder="1"/>
    <xf numFmtId="43" fontId="9" fillId="3" borderId="9" xfId="3" applyFont="1" applyFill="1" applyBorder="1"/>
    <xf numFmtId="44" fontId="3" fillId="0" borderId="0" xfId="1" applyFont="1" applyFill="1"/>
    <xf numFmtId="43" fontId="3" fillId="0" borderId="0" xfId="3" applyFont="1" applyFill="1"/>
    <xf numFmtId="0" fontId="7" fillId="0" borderId="0" xfId="0" applyFont="1"/>
    <xf numFmtId="44" fontId="7" fillId="0" borderId="0" xfId="1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4" fontId="7" fillId="2" borderId="1" xfId="1" applyFont="1" applyFill="1" applyBorder="1"/>
    <xf numFmtId="0" fontId="7" fillId="2" borderId="1" xfId="0" applyFont="1" applyFill="1" applyBorder="1"/>
    <xf numFmtId="44" fontId="7" fillId="0" borderId="0" xfId="0" applyNumberFormat="1" applyFont="1"/>
    <xf numFmtId="44" fontId="7" fillId="2" borderId="11" xfId="1" applyFont="1" applyFill="1" applyBorder="1"/>
    <xf numFmtId="0" fontId="7" fillId="2" borderId="11" xfId="0" applyFont="1" applyFill="1" applyBorder="1"/>
    <xf numFmtId="0" fontId="7" fillId="3" borderId="8" xfId="0" applyFont="1" applyFill="1" applyBorder="1"/>
    <xf numFmtId="44" fontId="7" fillId="3" borderId="1" xfId="1" applyFont="1" applyFill="1" applyBorder="1"/>
    <xf numFmtId="44" fontId="7" fillId="3" borderId="1" xfId="0" applyNumberFormat="1" applyFont="1" applyFill="1" applyBorder="1"/>
    <xf numFmtId="0" fontId="7" fillId="3" borderId="1" xfId="0" applyFont="1" applyFill="1" applyBorder="1"/>
    <xf numFmtId="0" fontId="7" fillId="3" borderId="9" xfId="0" applyFont="1" applyFill="1" applyBorder="1" applyAlignment="1">
      <alignment horizontal="right"/>
    </xf>
    <xf numFmtId="44" fontId="4" fillId="3" borderId="9" xfId="1" applyFont="1" applyFill="1" applyBorder="1" applyAlignment="1">
      <alignment horizontal="right"/>
    </xf>
    <xf numFmtId="0" fontId="7" fillId="3" borderId="10" xfId="0" applyFont="1" applyFill="1" applyBorder="1"/>
    <xf numFmtId="44" fontId="7" fillId="3" borderId="11" xfId="1" applyFont="1" applyFill="1" applyBorder="1"/>
    <xf numFmtId="0" fontId="7" fillId="3" borderId="11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3" fontId="7" fillId="3" borderId="9" xfId="3" applyFont="1" applyFill="1" applyBorder="1"/>
    <xf numFmtId="0" fontId="3" fillId="2" borderId="19" xfId="0" applyFont="1" applyFill="1" applyBorder="1"/>
    <xf numFmtId="44" fontId="7" fillId="2" borderId="20" xfId="1" applyFont="1" applyFill="1" applyBorder="1"/>
    <xf numFmtId="0" fontId="7" fillId="2" borderId="20" xfId="0" applyFont="1" applyFill="1" applyBorder="1"/>
    <xf numFmtId="44" fontId="3" fillId="2" borderId="9" xfId="1" applyFont="1" applyFill="1" applyBorder="1" applyAlignment="1">
      <alignment horizontal="right"/>
    </xf>
    <xf numFmtId="44" fontId="3" fillId="2" borderId="21" xfId="1" applyFont="1" applyFill="1" applyBorder="1" applyAlignment="1">
      <alignment horizontal="right"/>
    </xf>
    <xf numFmtId="0" fontId="3" fillId="3" borderId="19" xfId="0" applyFont="1" applyFill="1" applyBorder="1"/>
    <xf numFmtId="44" fontId="3" fillId="2" borderId="20" xfId="1" applyFont="1" applyFill="1" applyBorder="1"/>
    <xf numFmtId="0" fontId="3" fillId="2" borderId="20" xfId="0" applyFont="1" applyFill="1" applyBorder="1"/>
    <xf numFmtId="44" fontId="3" fillId="3" borderId="20" xfId="1" applyFont="1" applyFill="1" applyBorder="1"/>
    <xf numFmtId="0" fontId="3" fillId="3" borderId="20" xfId="0" applyFont="1" applyFill="1" applyBorder="1"/>
    <xf numFmtId="44" fontId="3" fillId="3" borderId="9" xfId="1" applyFont="1" applyFill="1" applyBorder="1" applyAlignment="1">
      <alignment horizontal="right"/>
    </xf>
    <xf numFmtId="44" fontId="3" fillId="3" borderId="21" xfId="1" applyFont="1" applyFill="1" applyBorder="1" applyAlignment="1">
      <alignment horizontal="right"/>
    </xf>
    <xf numFmtId="10" fontId="9" fillId="2" borderId="9" xfId="2" applyNumberFormat="1" applyFont="1" applyFill="1" applyBorder="1"/>
    <xf numFmtId="44" fontId="9" fillId="2" borderId="12" xfId="0" applyNumberFormat="1" applyFont="1" applyFill="1" applyBorder="1"/>
    <xf numFmtId="0" fontId="3" fillId="0" borderId="0" xfId="0" applyFont="1" applyAlignment="1">
      <alignment horizontal="left"/>
    </xf>
    <xf numFmtId="10" fontId="9" fillId="3" borderId="9" xfId="2" applyNumberFormat="1" applyFont="1" applyFill="1" applyBorder="1"/>
    <xf numFmtId="44" fontId="9" fillId="3" borderId="12" xfId="0" applyNumberFormat="1" applyFont="1" applyFill="1" applyBorder="1"/>
    <xf numFmtId="0" fontId="3" fillId="2" borderId="13" xfId="0" applyFont="1" applyFill="1" applyBorder="1"/>
    <xf numFmtId="44" fontId="3" fillId="2" borderId="17" xfId="1" applyFont="1" applyFill="1" applyBorder="1"/>
    <xf numFmtId="165" fontId="3" fillId="2" borderId="13" xfId="2" applyNumberFormat="1" applyFont="1" applyFill="1" applyBorder="1"/>
    <xf numFmtId="167" fontId="3" fillId="2" borderId="14" xfId="2" applyNumberFormat="1" applyFont="1" applyFill="1" applyBorder="1" applyAlignment="1">
      <alignment horizontal="right"/>
    </xf>
    <xf numFmtId="44" fontId="3" fillId="3" borderId="18" xfId="1" applyFont="1" applyFill="1" applyBorder="1"/>
    <xf numFmtId="165" fontId="3" fillId="3" borderId="10" xfId="2" applyNumberFormat="1" applyFont="1" applyFill="1" applyBorder="1"/>
    <xf numFmtId="167" fontId="3" fillId="3" borderId="12" xfId="2" applyNumberFormat="1" applyFont="1" applyFill="1" applyBorder="1" applyAlignment="1">
      <alignment horizontal="right"/>
    </xf>
    <xf numFmtId="0" fontId="3" fillId="0" borderId="15" xfId="0" applyFont="1" applyFill="1" applyBorder="1"/>
    <xf numFmtId="166" fontId="3" fillId="0" borderId="16" xfId="1" applyNumberFormat="1" applyFont="1" applyBorder="1"/>
    <xf numFmtId="0" fontId="9" fillId="2" borderId="22" xfId="0" applyFont="1" applyFill="1" applyBorder="1"/>
    <xf numFmtId="44" fontId="9" fillId="2" borderId="23" xfId="1" applyFont="1" applyFill="1" applyBorder="1" applyAlignment="1">
      <alignment horizontal="center"/>
    </xf>
    <xf numFmtId="0" fontId="9" fillId="2" borderId="24" xfId="0" applyFont="1" applyFill="1" applyBorder="1" applyAlignment="1">
      <alignment horizontal="left"/>
    </xf>
    <xf numFmtId="44" fontId="9" fillId="2" borderId="25" xfId="1" applyFont="1" applyFill="1" applyBorder="1" applyAlignment="1">
      <alignment horizontal="center"/>
    </xf>
    <xf numFmtId="0" fontId="3" fillId="2" borderId="26" xfId="0" applyFont="1" applyFill="1" applyBorder="1"/>
    <xf numFmtId="43" fontId="3" fillId="2" borderId="27" xfId="3" applyFont="1" applyFill="1" applyBorder="1"/>
    <xf numFmtId="0" fontId="3" fillId="2" borderId="28" xfId="0" applyFont="1" applyFill="1" applyBorder="1" applyAlignment="1">
      <alignment wrapText="1"/>
    </xf>
    <xf numFmtId="44" fontId="3" fillId="2" borderId="29" xfId="1" applyFont="1" applyFill="1" applyBorder="1"/>
    <xf numFmtId="44" fontId="10" fillId="2" borderId="4" xfId="1" applyFont="1" applyFill="1" applyBorder="1" applyAlignment="1">
      <alignment horizontal="center"/>
    </xf>
    <xf numFmtId="44" fontId="10" fillId="2" borderId="2" xfId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3" fontId="3" fillId="0" borderId="0" xfId="3" applyFont="1"/>
    <xf numFmtId="44" fontId="3" fillId="0" borderId="0" xfId="0" applyNumberFormat="1" applyFont="1"/>
    <xf numFmtId="0" fontId="11" fillId="0" borderId="0" xfId="4"/>
    <xf numFmtId="0" fontId="9" fillId="3" borderId="22" xfId="0" applyFont="1" applyFill="1" applyBorder="1"/>
    <xf numFmtId="44" fontId="9" fillId="3" borderId="23" xfId="1" applyFont="1" applyFill="1" applyBorder="1" applyAlignment="1">
      <alignment horizontal="center"/>
    </xf>
    <xf numFmtId="0" fontId="9" fillId="3" borderId="24" xfId="0" applyFont="1" applyFill="1" applyBorder="1" applyAlignment="1">
      <alignment horizontal="left"/>
    </xf>
    <xf numFmtId="44" fontId="9" fillId="3" borderId="25" xfId="1" applyFont="1" applyFill="1" applyBorder="1" applyAlignment="1">
      <alignment horizontal="center"/>
    </xf>
    <xf numFmtId="0" fontId="3" fillId="3" borderId="26" xfId="0" applyFont="1" applyFill="1" applyBorder="1"/>
    <xf numFmtId="43" fontId="3" fillId="3" borderId="27" xfId="3" applyFont="1" applyFill="1" applyBorder="1"/>
    <xf numFmtId="0" fontId="3" fillId="3" borderId="28" xfId="0" applyFont="1" applyFill="1" applyBorder="1" applyAlignment="1">
      <alignment wrapText="1"/>
    </xf>
    <xf numFmtId="44" fontId="3" fillId="3" borderId="29" xfId="1" applyFont="1" applyFill="1" applyBorder="1"/>
    <xf numFmtId="44" fontId="10" fillId="2" borderId="5" xfId="1" applyFont="1" applyFill="1" applyBorder="1" applyAlignment="1">
      <alignment horizontal="center"/>
    </xf>
    <xf numFmtId="44" fontId="10" fillId="2" borderId="7" xfId="1" applyFont="1" applyFill="1" applyBorder="1" applyAlignment="1">
      <alignment horizontal="center"/>
    </xf>
    <xf numFmtId="44" fontId="10" fillId="3" borderId="5" xfId="1" applyFont="1" applyFill="1" applyBorder="1" applyAlignment="1">
      <alignment horizontal="center"/>
    </xf>
    <xf numFmtId="44" fontId="10" fillId="3" borderId="7" xfId="1" applyFont="1" applyFill="1" applyBorder="1" applyAlignment="1">
      <alignment horizontal="center"/>
    </xf>
    <xf numFmtId="0" fontId="0" fillId="2" borderId="19" xfId="0" applyFont="1" applyFill="1" applyBorder="1"/>
    <xf numFmtId="44" fontId="0" fillId="2" borderId="20" xfId="1" applyFont="1" applyFill="1" applyBorder="1"/>
    <xf numFmtId="44" fontId="0" fillId="3" borderId="20" xfId="1" applyFont="1" applyFill="1" applyBorder="1"/>
    <xf numFmtId="44" fontId="10" fillId="3" borderId="4" xfId="1" applyFont="1" applyFill="1" applyBorder="1" applyAlignment="1">
      <alignment horizontal="center"/>
    </xf>
    <xf numFmtId="44" fontId="10" fillId="3" borderId="2" xfId="1" applyFont="1" applyFill="1" applyBorder="1" applyAlignment="1">
      <alignment horizontal="center"/>
    </xf>
    <xf numFmtId="0" fontId="3" fillId="0" borderId="0" xfId="0" applyFont="1" applyBorder="1"/>
    <xf numFmtId="44" fontId="3" fillId="0" borderId="0" xfId="1" applyFont="1" applyBorder="1"/>
    <xf numFmtId="6" fontId="3" fillId="2" borderId="9" xfId="1" applyNumberFormat="1" applyFont="1" applyFill="1" applyBorder="1" applyAlignment="1">
      <alignment horizontal="right"/>
    </xf>
    <xf numFmtId="6" fontId="3" fillId="2" borderId="21" xfId="1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68" fontId="0" fillId="0" borderId="1" xfId="1" applyNumberFormat="1" applyFont="1" applyFill="1" applyBorder="1" applyAlignment="1">
      <alignment vertical="center"/>
    </xf>
    <xf numFmtId="168" fontId="0" fillId="0" borderId="1" xfId="0" applyNumberFormat="1" applyFont="1" applyFill="1" applyBorder="1" applyAlignment="1">
      <alignment vertical="center"/>
    </xf>
    <xf numFmtId="10" fontId="0" fillId="0" borderId="1" xfId="2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168" fontId="0" fillId="0" borderId="1" xfId="1" applyNumberFormat="1" applyFont="1" applyFill="1" applyBorder="1" applyAlignment="1">
      <alignment horizontal="right" vertical="center"/>
    </xf>
    <xf numFmtId="169" fontId="0" fillId="0" borderId="1" xfId="1" applyNumberFormat="1" applyFont="1" applyFill="1" applyBorder="1" applyAlignment="1">
      <alignment vertical="center"/>
    </xf>
    <xf numFmtId="169" fontId="0" fillId="0" borderId="1" xfId="0" applyNumberFormat="1" applyFont="1" applyFill="1" applyBorder="1" applyAlignment="1">
      <alignment vertical="center"/>
    </xf>
    <xf numFmtId="169" fontId="0" fillId="0" borderId="1" xfId="1" applyNumberFormat="1" applyFont="1" applyFill="1" applyBorder="1" applyAlignment="1">
      <alignment horizontal="right" vertical="center"/>
    </xf>
    <xf numFmtId="169" fontId="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</cellXfs>
  <cellStyles count="5">
    <cellStyle name="Comma" xfId="3" builtinId="3"/>
    <cellStyle name="Currency" xfId="1" builtinId="4"/>
    <cellStyle name="Hyperlink" xfId="4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riscotexas.gov/DocumentCenter/View/16829/FY19-Annual-Budge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rospertx.gov/wp-content/uploads/TOP-Adopted-Budget-17-18.pdf" TargetMode="External"/><Relationship Id="rId1" Type="http://schemas.openxmlformats.org/officeDocument/2006/relationships/hyperlink" Target="https://www.prosper-isd.net/Page/51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mckinneyisd.net/business-finance/financial-transparency/" TargetMode="External"/><Relationship Id="rId1" Type="http://schemas.openxmlformats.org/officeDocument/2006/relationships/hyperlink" Target="https://www.mckinneytexas.org/ArchiveCenter/ViewFile/Item/202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princetonisd.net/cms/lib/TX01001410/Centricity/Domain/3/Budget%2017-18%20Web%20Page.pdf" TargetMode="External"/><Relationship Id="rId1" Type="http://schemas.openxmlformats.org/officeDocument/2006/relationships/hyperlink" Target="https://princetontx.gov/wp-content/uploads/2017/05/FY2018-Annual-Budget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farmersvilleisd.net/apps/pages/index.jsp?uREC_ID=445947&amp;type=d&amp;pREC_ID=961733" TargetMode="External"/><Relationship Id="rId1" Type="http://schemas.openxmlformats.org/officeDocument/2006/relationships/hyperlink" Target="http://www.farmersvilletx.com/government/financial_transparency/city_budgets/docs/Budget%20Workshop%208-28-2018%20For%20Websi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J37"/>
  <sheetViews>
    <sheetView tabSelected="1" topLeftCell="A22" workbookViewId="0">
      <selection activeCell="A23" sqref="A23:A25"/>
    </sheetView>
  </sheetViews>
  <sheetFormatPr defaultRowHeight="15" x14ac:dyDescent="0.25"/>
  <cols>
    <col min="1" max="1" width="20.7109375" style="198" customWidth="1"/>
    <col min="2" max="3" width="18.7109375" style="198" customWidth="1"/>
    <col min="4" max="9" width="12.7109375" style="198" customWidth="1"/>
    <col min="10" max="16384" width="9.140625" style="198"/>
  </cols>
  <sheetData>
    <row r="6" spans="1:10" s="196" customFormat="1" ht="20.100000000000001" customHeight="1" x14ac:dyDescent="0.25">
      <c r="A6" s="207" t="s">
        <v>89</v>
      </c>
      <c r="B6" s="207" t="s">
        <v>83</v>
      </c>
      <c r="C6" s="207"/>
      <c r="D6" s="207" t="s">
        <v>90</v>
      </c>
      <c r="E6" s="207"/>
      <c r="F6" s="207"/>
      <c r="G6" s="207"/>
      <c r="H6" s="207"/>
      <c r="I6" s="207"/>
    </row>
    <row r="7" spans="1:10" s="196" customFormat="1" ht="20.100000000000001" customHeight="1" x14ac:dyDescent="0.25">
      <c r="A7" s="207"/>
      <c r="B7" s="211" t="s">
        <v>88</v>
      </c>
      <c r="C7" s="211" t="s">
        <v>87</v>
      </c>
      <c r="D7" s="208" t="s">
        <v>81</v>
      </c>
      <c r="E7" s="209"/>
      <c r="F7" s="209"/>
      <c r="G7" s="210" t="s">
        <v>82</v>
      </c>
      <c r="H7" s="210"/>
      <c r="I7" s="210"/>
    </row>
    <row r="8" spans="1:10" ht="20.100000000000001" customHeight="1" x14ac:dyDescent="0.25">
      <c r="A8" s="207"/>
      <c r="B8" s="211"/>
      <c r="C8" s="207"/>
      <c r="D8" s="197" t="s">
        <v>84</v>
      </c>
      <c r="E8" s="197" t="s">
        <v>85</v>
      </c>
      <c r="F8" s="197" t="s">
        <v>86</v>
      </c>
      <c r="G8" s="197" t="s">
        <v>84</v>
      </c>
      <c r="H8" s="197" t="s">
        <v>85</v>
      </c>
      <c r="I8" s="197" t="s">
        <v>86</v>
      </c>
    </row>
    <row r="9" spans="1:10" ht="20.100000000000001" customHeight="1" x14ac:dyDescent="0.25">
      <c r="A9" s="202" t="s">
        <v>92</v>
      </c>
      <c r="B9" s="203">
        <v>129323534</v>
      </c>
      <c r="C9" s="203">
        <v>172972425</v>
      </c>
      <c r="D9" s="204">
        <v>134326.62</v>
      </c>
      <c r="E9" s="205">
        <f t="shared" ref="E9:E18" si="0">D9/B9</f>
        <v>1.0386865858460069E-3</v>
      </c>
      <c r="F9" s="205">
        <f t="shared" ref="F9:F18" si="1">D9/C9</f>
        <v>7.7657823205057102E-4</v>
      </c>
      <c r="G9" s="204">
        <v>134326.62</v>
      </c>
      <c r="H9" s="205">
        <f t="shared" ref="H9:I18" si="2">G9/B9</f>
        <v>1.0386865858460069E-3</v>
      </c>
      <c r="I9" s="205">
        <f t="shared" si="2"/>
        <v>6.0049258478396599E-12</v>
      </c>
    </row>
    <row r="10" spans="1:10" ht="20.100000000000001" customHeight="1" x14ac:dyDescent="0.25">
      <c r="A10" s="202" t="s">
        <v>93</v>
      </c>
      <c r="B10" s="220" t="s">
        <v>67</v>
      </c>
      <c r="C10" s="220" t="s">
        <v>67</v>
      </c>
      <c r="D10" s="204">
        <v>0</v>
      </c>
      <c r="E10" s="205"/>
      <c r="F10" s="205">
        <v>0</v>
      </c>
      <c r="G10" s="204">
        <v>0</v>
      </c>
      <c r="H10" s="205">
        <v>0</v>
      </c>
      <c r="I10" s="205">
        <v>0</v>
      </c>
      <c r="J10" s="198" t="s">
        <v>94</v>
      </c>
    </row>
    <row r="11" spans="1:10" ht="20.100000000000001" customHeight="1" x14ac:dyDescent="0.25">
      <c r="A11" s="202" t="s">
        <v>50</v>
      </c>
      <c r="B11" s="203">
        <v>18369517</v>
      </c>
      <c r="C11" s="203">
        <v>25397091</v>
      </c>
      <c r="D11" s="204">
        <v>137340.51</v>
      </c>
      <c r="E11" s="205">
        <f t="shared" si="0"/>
        <v>7.4765444295568579E-3</v>
      </c>
      <c r="F11" s="205">
        <f t="shared" si="1"/>
        <v>5.4077260265752488E-3</v>
      </c>
      <c r="G11" s="204">
        <v>137340.51</v>
      </c>
      <c r="H11" s="205">
        <f t="shared" si="2"/>
        <v>7.4765444295568579E-3</v>
      </c>
      <c r="I11" s="205">
        <f t="shared" ref="I11:I18" si="3">G11/C11</f>
        <v>5.4077260265752488E-3</v>
      </c>
    </row>
    <row r="12" spans="1:10" ht="20.100000000000001" customHeight="1" x14ac:dyDescent="0.25">
      <c r="A12" s="202" t="s">
        <v>51</v>
      </c>
      <c r="B12" s="203">
        <v>94500000</v>
      </c>
      <c r="C12" s="203">
        <v>126000000</v>
      </c>
      <c r="D12" s="204">
        <v>286920.47054999997</v>
      </c>
      <c r="E12" s="205">
        <f t="shared" si="0"/>
        <v>3.0361954555555553E-3</v>
      </c>
      <c r="F12" s="205">
        <f t="shared" si="1"/>
        <v>2.2771465916666665E-3</v>
      </c>
      <c r="G12" s="204">
        <v>286920.47054999997</v>
      </c>
      <c r="H12" s="205">
        <f t="shared" si="2"/>
        <v>3.0361954555555553E-3</v>
      </c>
      <c r="I12" s="205">
        <f t="shared" si="3"/>
        <v>2.2771465916666665E-3</v>
      </c>
    </row>
    <row r="13" spans="1:10" ht="20.100000000000001" customHeight="1" x14ac:dyDescent="0.25">
      <c r="A13" s="202" t="s">
        <v>27</v>
      </c>
      <c r="B13" s="203">
        <v>146018919</v>
      </c>
      <c r="C13" s="203">
        <v>468387797</v>
      </c>
      <c r="D13" s="204">
        <v>2739550.3965460001</v>
      </c>
      <c r="E13" s="205">
        <f t="shared" si="0"/>
        <v>1.8761612641071533E-2</v>
      </c>
      <c r="F13" s="205">
        <f t="shared" si="1"/>
        <v>5.8488936178369309E-3</v>
      </c>
      <c r="G13" s="204">
        <v>280978.72053065</v>
      </c>
      <c r="H13" s="205">
        <f t="shared" si="2"/>
        <v>1.924262434312707E-3</v>
      </c>
      <c r="I13" s="205">
        <f t="shared" si="3"/>
        <v>5.9988480129137523E-4</v>
      </c>
    </row>
    <row r="14" spans="1:10" ht="20.100000000000001" customHeight="1" x14ac:dyDescent="0.25">
      <c r="A14" s="202" t="s">
        <v>38</v>
      </c>
      <c r="B14" s="203">
        <v>173216632</v>
      </c>
      <c r="C14" s="203">
        <v>218422177</v>
      </c>
      <c r="D14" s="204">
        <v>4621770.3420000002</v>
      </c>
      <c r="E14" s="205">
        <f t="shared" si="0"/>
        <v>2.6682024056442804E-2</v>
      </c>
      <c r="F14" s="205">
        <f t="shared" si="1"/>
        <v>2.1159803484606787E-2</v>
      </c>
      <c r="G14" s="204">
        <v>832523.11755000008</v>
      </c>
      <c r="H14" s="205">
        <f t="shared" si="2"/>
        <v>4.8062539257200205E-3</v>
      </c>
      <c r="I14" s="205">
        <f t="shared" si="3"/>
        <v>3.8115320018534569E-3</v>
      </c>
    </row>
    <row r="15" spans="1:10" ht="20.100000000000001" customHeight="1" x14ac:dyDescent="0.25">
      <c r="A15" s="202" t="s">
        <v>39</v>
      </c>
      <c r="B15" s="203">
        <v>3348861</v>
      </c>
      <c r="C15" s="203">
        <v>8119502</v>
      </c>
      <c r="D15" s="204">
        <v>407084.99347719998</v>
      </c>
      <c r="E15" s="205">
        <f t="shared" si="0"/>
        <v>0.12155923864179492</v>
      </c>
      <c r="F15" s="205">
        <f t="shared" si="1"/>
        <v>5.0136694772314853E-2</v>
      </c>
      <c r="G15" s="204">
        <v>43012.610914300007</v>
      </c>
      <c r="H15" s="205">
        <f t="shared" si="2"/>
        <v>1.2843952291331293E-2</v>
      </c>
      <c r="I15" s="205">
        <f t="shared" si="3"/>
        <v>5.2974444632564914E-3</v>
      </c>
    </row>
    <row r="16" spans="1:10" ht="20.100000000000001" customHeight="1" x14ac:dyDescent="0.25">
      <c r="A16" s="202" t="s">
        <v>40</v>
      </c>
      <c r="B16" s="203">
        <v>10802578</v>
      </c>
      <c r="C16" s="203">
        <v>39599080</v>
      </c>
      <c r="D16" s="204">
        <v>893902.16520000005</v>
      </c>
      <c r="E16" s="205">
        <f t="shared" si="0"/>
        <v>8.2748966515215169E-2</v>
      </c>
      <c r="F16" s="205">
        <f t="shared" si="1"/>
        <v>2.2573811442084007E-2</v>
      </c>
      <c r="G16" s="204">
        <v>111427.04250000001</v>
      </c>
      <c r="H16" s="205">
        <f t="shared" si="2"/>
        <v>1.0314856555537022E-2</v>
      </c>
      <c r="I16" s="205">
        <f t="shared" si="3"/>
        <v>2.8138795775053361E-3</v>
      </c>
    </row>
    <row r="17" spans="1:9" ht="20.100000000000001" customHeight="1" x14ac:dyDescent="0.25">
      <c r="A17" s="202" t="s">
        <v>42</v>
      </c>
      <c r="B17" s="203">
        <v>1300483</v>
      </c>
      <c r="C17" s="203">
        <v>3474184</v>
      </c>
      <c r="D17" s="204">
        <v>88177.6875</v>
      </c>
      <c r="E17" s="205">
        <f t="shared" si="0"/>
        <v>6.780379866557272E-2</v>
      </c>
      <c r="F17" s="205">
        <f t="shared" si="1"/>
        <v>2.5380834031818695E-2</v>
      </c>
      <c r="G17" s="204">
        <v>0</v>
      </c>
      <c r="H17" s="205">
        <f t="shared" si="2"/>
        <v>0</v>
      </c>
      <c r="I17" s="205">
        <f t="shared" si="3"/>
        <v>0</v>
      </c>
    </row>
    <row r="18" spans="1:9" ht="20.100000000000001" customHeight="1" x14ac:dyDescent="0.25">
      <c r="A18" s="202" t="s">
        <v>48</v>
      </c>
      <c r="B18" s="203">
        <v>6924930</v>
      </c>
      <c r="C18" s="203">
        <v>15776448</v>
      </c>
      <c r="D18" s="204">
        <v>139352.73000000001</v>
      </c>
      <c r="E18" s="205">
        <f t="shared" si="0"/>
        <v>2.0123341318973621E-2</v>
      </c>
      <c r="F18" s="205">
        <f t="shared" si="1"/>
        <v>8.8329597384658454E-3</v>
      </c>
      <c r="G18" s="204">
        <v>4008.8362499999998</v>
      </c>
      <c r="H18" s="205">
        <f t="shared" si="2"/>
        <v>5.7889917298803017E-4</v>
      </c>
      <c r="I18" s="205">
        <f t="shared" si="3"/>
        <v>2.5410258697014689E-4</v>
      </c>
    </row>
    <row r="19" spans="1:9" ht="20.100000000000001" customHeight="1" x14ac:dyDescent="0.25">
      <c r="A19" s="200" t="s">
        <v>24</v>
      </c>
      <c r="B19" s="199"/>
      <c r="C19" s="199"/>
      <c r="D19" s="199"/>
      <c r="E19" s="199"/>
      <c r="F19" s="199"/>
      <c r="G19" s="199"/>
      <c r="H19" s="199"/>
      <c r="I19" s="199"/>
    </row>
    <row r="20" spans="1:9" x14ac:dyDescent="0.25">
      <c r="I20" s="201" t="s">
        <v>91</v>
      </c>
    </row>
    <row r="21" spans="1:9" x14ac:dyDescent="0.25">
      <c r="I21" s="201"/>
    </row>
    <row r="22" spans="1:9" ht="23.25" x14ac:dyDescent="0.25">
      <c r="A22" s="225" t="s">
        <v>104</v>
      </c>
    </row>
    <row r="23" spans="1:9" x14ac:dyDescent="0.25">
      <c r="A23" s="207" t="s">
        <v>89</v>
      </c>
      <c r="B23" s="207" t="s">
        <v>83</v>
      </c>
      <c r="C23" s="207"/>
      <c r="D23" s="207" t="s">
        <v>90</v>
      </c>
      <c r="E23" s="207"/>
      <c r="F23" s="207"/>
      <c r="G23" s="207"/>
      <c r="H23" s="207"/>
      <c r="I23" s="207"/>
    </row>
    <row r="24" spans="1:9" x14ac:dyDescent="0.25">
      <c r="A24" s="207"/>
      <c r="B24" s="211" t="s">
        <v>88</v>
      </c>
      <c r="C24" s="211" t="s">
        <v>87</v>
      </c>
      <c r="D24" s="208" t="s">
        <v>81</v>
      </c>
      <c r="E24" s="209"/>
      <c r="F24" s="209"/>
      <c r="G24" s="210" t="s">
        <v>82</v>
      </c>
      <c r="H24" s="210"/>
      <c r="I24" s="210"/>
    </row>
    <row r="25" spans="1:9" x14ac:dyDescent="0.25">
      <c r="A25" s="207"/>
      <c r="B25" s="211"/>
      <c r="C25" s="207"/>
      <c r="D25" s="206" t="s">
        <v>84</v>
      </c>
      <c r="E25" s="206" t="s">
        <v>85</v>
      </c>
      <c r="F25" s="206" t="s">
        <v>86</v>
      </c>
      <c r="G25" s="206" t="s">
        <v>84</v>
      </c>
      <c r="H25" s="206" t="s">
        <v>85</v>
      </c>
      <c r="I25" s="206" t="s">
        <v>86</v>
      </c>
    </row>
    <row r="26" spans="1:9" x14ac:dyDescent="0.25">
      <c r="A26" s="202" t="s">
        <v>92</v>
      </c>
      <c r="B26" s="221">
        <f>ROUND(B9,-3)</f>
        <v>129324000</v>
      </c>
      <c r="C26" s="221">
        <f>ROUND(C9,-3)</f>
        <v>172972000</v>
      </c>
      <c r="D26" s="222">
        <f>ROUND(D9,-3)</f>
        <v>134000</v>
      </c>
      <c r="E26" s="205">
        <f t="shared" ref="E26:E35" si="4">D26/B26</f>
        <v>1.0361572484612292E-3</v>
      </c>
      <c r="F26" s="205">
        <f t="shared" ref="F26:F35" si="5">D26/C26</f>
        <v>7.7469185764169918E-4</v>
      </c>
      <c r="G26" s="222">
        <f>ROUND(G9,-3)</f>
        <v>134000</v>
      </c>
      <c r="H26" s="205">
        <f t="shared" ref="H26:H35" si="6">G26/B26</f>
        <v>1.0361572484612292E-3</v>
      </c>
      <c r="I26" s="205">
        <f t="shared" ref="I26:I35" si="7">H26/C26</f>
        <v>5.9903177882040404E-12</v>
      </c>
    </row>
    <row r="27" spans="1:9" x14ac:dyDescent="0.25">
      <c r="A27" s="202" t="s">
        <v>93</v>
      </c>
      <c r="B27" s="223" t="s">
        <v>67</v>
      </c>
      <c r="C27" s="223" t="s">
        <v>67</v>
      </c>
      <c r="D27" s="222">
        <f>ROUND(D10,-3)</f>
        <v>0</v>
      </c>
      <c r="E27" s="205">
        <v>0</v>
      </c>
      <c r="F27" s="205">
        <v>0</v>
      </c>
      <c r="G27" s="222">
        <f>ROUND(G10,-3)</f>
        <v>0</v>
      </c>
      <c r="H27" s="205">
        <v>0</v>
      </c>
      <c r="I27" s="205">
        <v>0</v>
      </c>
    </row>
    <row r="28" spans="1:9" x14ac:dyDescent="0.25">
      <c r="A28" s="202" t="s">
        <v>50</v>
      </c>
      <c r="B28" s="221">
        <f>ROUND(B11,-3)</f>
        <v>18370000</v>
      </c>
      <c r="C28" s="221">
        <f>ROUND(C11,-3)</f>
        <v>25397000</v>
      </c>
      <c r="D28" s="222">
        <f>ROUND(D11,-3)</f>
        <v>137000</v>
      </c>
      <c r="E28" s="205">
        <f t="shared" ref="E28:E36" si="8">D28/B28</f>
        <v>7.4578116494284155E-3</v>
      </c>
      <c r="F28" s="205">
        <f t="shared" ref="F28:F36" si="9">D28/C28</f>
        <v>5.3943379139268421E-3</v>
      </c>
      <c r="G28" s="222">
        <f>ROUND(G11,-3)</f>
        <v>137000</v>
      </c>
      <c r="H28" s="205">
        <f t="shared" ref="H28:H36" si="10">G28/B28</f>
        <v>7.4578116494284155E-3</v>
      </c>
      <c r="I28" s="205">
        <f t="shared" ref="I28:I35" si="11">G28/C28</f>
        <v>5.3943379139268421E-3</v>
      </c>
    </row>
    <row r="29" spans="1:9" x14ac:dyDescent="0.25">
      <c r="A29" s="202" t="s">
        <v>51</v>
      </c>
      <c r="B29" s="221">
        <f>ROUND(B12,-3)</f>
        <v>94500000</v>
      </c>
      <c r="C29" s="221">
        <f>ROUND(C12,-3)</f>
        <v>126000000</v>
      </c>
      <c r="D29" s="222">
        <f>ROUND(D12,-3)</f>
        <v>287000</v>
      </c>
      <c r="E29" s="205">
        <f t="shared" si="8"/>
        <v>3.0370370370370369E-3</v>
      </c>
      <c r="F29" s="205">
        <f t="shared" si="9"/>
        <v>2.2777777777777779E-3</v>
      </c>
      <c r="G29" s="222">
        <f>ROUND(G12,-3)</f>
        <v>287000</v>
      </c>
      <c r="H29" s="205">
        <f t="shared" si="10"/>
        <v>3.0370370370370369E-3</v>
      </c>
      <c r="I29" s="205">
        <f t="shared" si="11"/>
        <v>2.2777777777777779E-3</v>
      </c>
    </row>
    <row r="30" spans="1:9" x14ac:dyDescent="0.25">
      <c r="A30" s="202" t="s">
        <v>27</v>
      </c>
      <c r="B30" s="221">
        <f>ROUND(B13,-3)</f>
        <v>146019000</v>
      </c>
      <c r="C30" s="221">
        <f>ROUND(C13,-3)</f>
        <v>468388000</v>
      </c>
      <c r="D30" s="222">
        <f>ROUND(D13,-3)</f>
        <v>2740000</v>
      </c>
      <c r="E30" s="205">
        <f t="shared" si="8"/>
        <v>1.8764681308596827E-2</v>
      </c>
      <c r="F30" s="205">
        <f t="shared" si="9"/>
        <v>5.8498509782488025E-3</v>
      </c>
      <c r="G30" s="222">
        <f>ROUND(G13,-3)</f>
        <v>281000</v>
      </c>
      <c r="H30" s="205">
        <f t="shared" si="10"/>
        <v>1.9244070977064629E-3</v>
      </c>
      <c r="I30" s="205">
        <f t="shared" si="11"/>
        <v>5.9992997258682967E-4</v>
      </c>
    </row>
    <row r="31" spans="1:9" x14ac:dyDescent="0.25">
      <c r="A31" s="202" t="s">
        <v>38</v>
      </c>
      <c r="B31" s="221">
        <f>ROUND(B14,-3)</f>
        <v>173217000</v>
      </c>
      <c r="C31" s="221">
        <f>ROUND(C14,-3)</f>
        <v>218422000</v>
      </c>
      <c r="D31" s="222">
        <f>ROUND(D14,-3)</f>
        <v>4622000</v>
      </c>
      <c r="E31" s="205">
        <f t="shared" si="8"/>
        <v>2.6683293210250727E-2</v>
      </c>
      <c r="F31" s="205">
        <f t="shared" si="9"/>
        <v>2.1160872073325947E-2</v>
      </c>
      <c r="G31" s="222">
        <f>ROUND(G14,-3)</f>
        <v>833000</v>
      </c>
      <c r="H31" s="205">
        <f t="shared" si="10"/>
        <v>4.8089968074727079E-3</v>
      </c>
      <c r="I31" s="205">
        <f t="shared" si="11"/>
        <v>3.8137183983298385E-3</v>
      </c>
    </row>
    <row r="32" spans="1:9" x14ac:dyDescent="0.25">
      <c r="A32" s="202" t="s">
        <v>39</v>
      </c>
      <c r="B32" s="221">
        <f>ROUND(B15,-3)</f>
        <v>3349000</v>
      </c>
      <c r="C32" s="221">
        <f>ROUND(C15,-3)</f>
        <v>8120000</v>
      </c>
      <c r="D32" s="222">
        <f>ROUND(D15,-3)</f>
        <v>407000</v>
      </c>
      <c r="E32" s="205">
        <f t="shared" si="8"/>
        <v>0.12152881457151389</v>
      </c>
      <c r="F32" s="205">
        <f t="shared" si="9"/>
        <v>5.0123152709359603E-2</v>
      </c>
      <c r="G32" s="222">
        <f>ROUND(G15,-3)</f>
        <v>43000</v>
      </c>
      <c r="H32" s="205">
        <f t="shared" si="10"/>
        <v>1.2839653627948642E-2</v>
      </c>
      <c r="I32" s="205">
        <f t="shared" si="11"/>
        <v>5.2955665024630545E-3</v>
      </c>
    </row>
    <row r="33" spans="1:9" x14ac:dyDescent="0.25">
      <c r="A33" s="202" t="s">
        <v>40</v>
      </c>
      <c r="B33" s="221">
        <f>ROUND(B16,-3)</f>
        <v>10803000</v>
      </c>
      <c r="C33" s="221">
        <f>ROUND(C16,-3)</f>
        <v>39599000</v>
      </c>
      <c r="D33" s="222">
        <f>ROUND(D16,-3)</f>
        <v>894000</v>
      </c>
      <c r="E33" s="205">
        <f t="shared" si="8"/>
        <v>8.2754790336017778E-2</v>
      </c>
      <c r="F33" s="205">
        <f t="shared" si="9"/>
        <v>2.2576327685042551E-2</v>
      </c>
      <c r="G33" s="222">
        <f>ROUND(G16,-3)</f>
        <v>111000</v>
      </c>
      <c r="H33" s="205">
        <f t="shared" si="10"/>
        <v>1.0274923632324354E-2</v>
      </c>
      <c r="I33" s="205">
        <f t="shared" si="11"/>
        <v>2.8031010884113235E-3</v>
      </c>
    </row>
    <row r="34" spans="1:9" x14ac:dyDescent="0.25">
      <c r="A34" s="202" t="s">
        <v>42</v>
      </c>
      <c r="B34" s="221">
        <f>ROUND(B17,-3)</f>
        <v>1300000</v>
      </c>
      <c r="C34" s="221">
        <f>ROUND(C17,-3)</f>
        <v>3474000</v>
      </c>
      <c r="D34" s="222">
        <f>ROUND(D17,-3)</f>
        <v>88000</v>
      </c>
      <c r="E34" s="205">
        <f t="shared" si="8"/>
        <v>6.7692307692307691E-2</v>
      </c>
      <c r="F34" s="205">
        <f t="shared" si="9"/>
        <v>2.5331030512377662E-2</v>
      </c>
      <c r="G34" s="222">
        <f>ROUND(G17,-3)</f>
        <v>0</v>
      </c>
      <c r="H34" s="205">
        <f t="shared" si="10"/>
        <v>0</v>
      </c>
      <c r="I34" s="205">
        <f t="shared" si="11"/>
        <v>0</v>
      </c>
    </row>
    <row r="35" spans="1:9" x14ac:dyDescent="0.25">
      <c r="A35" s="202" t="s">
        <v>48</v>
      </c>
      <c r="B35" s="221">
        <f>ROUND(B18,-3)</f>
        <v>6925000</v>
      </c>
      <c r="C35" s="221">
        <f>ROUND(C18,-3)</f>
        <v>15776000</v>
      </c>
      <c r="D35" s="222">
        <f>ROUND(D18,-3)</f>
        <v>139000</v>
      </c>
      <c r="E35" s="205">
        <f t="shared" si="8"/>
        <v>2.0072202166064982E-2</v>
      </c>
      <c r="F35" s="205">
        <f t="shared" si="9"/>
        <v>8.8108519269776871E-3</v>
      </c>
      <c r="G35" s="222">
        <f>ROUND(G18,-3)</f>
        <v>4000</v>
      </c>
      <c r="H35" s="205">
        <f t="shared" si="10"/>
        <v>5.7761732851985563E-4</v>
      </c>
      <c r="I35" s="205">
        <f t="shared" si="11"/>
        <v>2.5354969574036511E-4</v>
      </c>
    </row>
    <row r="36" spans="1:9" x14ac:dyDescent="0.25">
      <c r="A36" s="200" t="s">
        <v>24</v>
      </c>
      <c r="B36" s="224">
        <f>SUM(B26:B35)</f>
        <v>583807000</v>
      </c>
      <c r="C36" s="224">
        <f t="shared" ref="C36:D36" si="12">SUM(C26:C35)</f>
        <v>1078148000</v>
      </c>
      <c r="D36" s="224">
        <f t="shared" si="12"/>
        <v>9448000</v>
      </c>
      <c r="E36" s="205">
        <f t="shared" si="8"/>
        <v>1.6183430483019217E-2</v>
      </c>
      <c r="F36" s="205">
        <f t="shared" si="9"/>
        <v>8.7631753710993299E-3</v>
      </c>
      <c r="G36" s="224">
        <f t="shared" ref="G36" si="13">SUM(G26:G35)</f>
        <v>1830000</v>
      </c>
      <c r="H36" s="205">
        <f t="shared" ref="H36" si="14">G36/B36</f>
        <v>3.1345975639209532E-3</v>
      </c>
      <c r="I36" s="205">
        <f t="shared" ref="I36" si="15">G36/C36</f>
        <v>1.6973550941058184E-3</v>
      </c>
    </row>
    <row r="37" spans="1:9" x14ac:dyDescent="0.25">
      <c r="I37" s="201" t="s">
        <v>91</v>
      </c>
    </row>
  </sheetData>
  <mergeCells count="14">
    <mergeCell ref="A23:A25"/>
    <mergeCell ref="B23:C23"/>
    <mergeCell ref="D23:I23"/>
    <mergeCell ref="B24:B25"/>
    <mergeCell ref="C24:C25"/>
    <mergeCell ref="D24:F24"/>
    <mergeCell ref="G24:I24"/>
    <mergeCell ref="A6:A8"/>
    <mergeCell ref="D7:F7"/>
    <mergeCell ref="G7:I7"/>
    <mergeCell ref="D6:I6"/>
    <mergeCell ref="B6:C6"/>
    <mergeCell ref="B7:B8"/>
    <mergeCell ref="C7:C8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6"/>
  <sheetViews>
    <sheetView workbookViewId="0"/>
  </sheetViews>
  <sheetFormatPr defaultRowHeight="15" x14ac:dyDescent="0.25"/>
  <cols>
    <col min="1" max="1" width="28.42578125" customWidth="1"/>
    <col min="2" max="4" width="25.7109375" customWidth="1"/>
  </cols>
  <sheetData>
    <row r="1" spans="1:4" x14ac:dyDescent="0.25">
      <c r="A1" t="s">
        <v>80</v>
      </c>
    </row>
    <row r="2" spans="1:4" x14ac:dyDescent="0.25">
      <c r="A2" s="61" t="s">
        <v>7</v>
      </c>
    </row>
    <row r="3" spans="1:4" x14ac:dyDescent="0.25">
      <c r="A3" s="61" t="s">
        <v>8</v>
      </c>
    </row>
    <row r="5" spans="1:4" x14ac:dyDescent="0.25">
      <c r="A5" t="s">
        <v>95</v>
      </c>
    </row>
    <row r="6" spans="1:4" x14ac:dyDescent="0.25">
      <c r="A6" t="s">
        <v>96</v>
      </c>
    </row>
    <row r="8" spans="1:4" ht="15.75" x14ac:dyDescent="0.25">
      <c r="A8" s="63" t="s">
        <v>19</v>
      </c>
      <c r="B8" s="62"/>
      <c r="C8" s="61"/>
      <c r="D8" s="53"/>
    </row>
    <row r="9" spans="1:4" ht="15.75" thickBot="1" x14ac:dyDescent="0.3">
      <c r="A9" s="61"/>
      <c r="B9" s="62"/>
      <c r="C9" s="61"/>
      <c r="D9" s="53"/>
    </row>
    <row r="10" spans="1:4" x14ac:dyDescent="0.25">
      <c r="A10" s="64" t="s">
        <v>5</v>
      </c>
      <c r="B10" s="65" t="s">
        <v>9</v>
      </c>
      <c r="C10" s="66" t="s">
        <v>11</v>
      </c>
      <c r="D10" s="67" t="s">
        <v>92</v>
      </c>
    </row>
    <row r="11" spans="1:4" x14ac:dyDescent="0.25">
      <c r="A11" s="69"/>
      <c r="B11" s="70" t="s">
        <v>10</v>
      </c>
      <c r="C11" s="71" t="s">
        <v>97</v>
      </c>
      <c r="D11" s="72" t="s">
        <v>37</v>
      </c>
    </row>
    <row r="12" spans="1:4" x14ac:dyDescent="0.25">
      <c r="A12" s="73" t="s">
        <v>3</v>
      </c>
      <c r="B12" s="74"/>
      <c r="C12" s="75">
        <f>B12*0.1</f>
        <v>0</v>
      </c>
      <c r="D12" s="76">
        <f>B12/100*0.4466</f>
        <v>0</v>
      </c>
    </row>
    <row r="13" spans="1:4" x14ac:dyDescent="0.25">
      <c r="A13" s="73" t="s">
        <v>4</v>
      </c>
      <c r="B13" s="74">
        <v>30077612</v>
      </c>
      <c r="C13" s="75">
        <f>B13*0.1</f>
        <v>3007761.2</v>
      </c>
      <c r="D13" s="76">
        <f>B13/100*0.4466</f>
        <v>134326.615192</v>
      </c>
    </row>
    <row r="14" spans="1:4" x14ac:dyDescent="0.25">
      <c r="A14" s="73" t="s">
        <v>2</v>
      </c>
      <c r="B14" s="74"/>
      <c r="C14" s="75">
        <f>SUM(C12:C13)</f>
        <v>3007761.2</v>
      </c>
      <c r="D14" s="78">
        <f>SUM(D12:D13)</f>
        <v>134326.615192</v>
      </c>
    </row>
    <row r="15" spans="1:4" x14ac:dyDescent="0.25">
      <c r="A15" s="73" t="s">
        <v>98</v>
      </c>
      <c r="B15" s="117"/>
      <c r="C15" s="75"/>
      <c r="D15" s="75">
        <f>C60</f>
        <v>82538430</v>
      </c>
    </row>
    <row r="16" spans="1:4" ht="15.75" thickBot="1" x14ac:dyDescent="0.3">
      <c r="A16" s="79" t="s">
        <v>30</v>
      </c>
      <c r="B16" s="120"/>
      <c r="C16" s="121"/>
      <c r="D16" s="82">
        <f>D14/C60</f>
        <v>1.6274433035859781E-3</v>
      </c>
    </row>
    <row r="17" spans="1:4" ht="15.75" thickBot="1" x14ac:dyDescent="0.3">
      <c r="A17" s="110"/>
      <c r="B17" s="111"/>
      <c r="C17" s="110"/>
      <c r="D17" s="53"/>
    </row>
    <row r="18" spans="1:4" x14ac:dyDescent="0.25">
      <c r="A18" s="83" t="s">
        <v>99</v>
      </c>
      <c r="B18" s="84"/>
      <c r="C18" s="85"/>
      <c r="D18" s="86"/>
    </row>
    <row r="19" spans="1:4" x14ac:dyDescent="0.25">
      <c r="A19" s="87"/>
      <c r="B19" s="88"/>
      <c r="C19" s="89"/>
      <c r="D19" s="90"/>
    </row>
    <row r="20" spans="1:4" x14ac:dyDescent="0.25">
      <c r="A20" s="91"/>
      <c r="B20" s="92"/>
      <c r="C20" s="93"/>
      <c r="D20" s="94"/>
    </row>
    <row r="21" spans="1:4" x14ac:dyDescent="0.25">
      <c r="A21" s="91"/>
      <c r="B21" s="92"/>
      <c r="C21" s="93"/>
      <c r="D21" s="94"/>
    </row>
    <row r="22" spans="1:4" x14ac:dyDescent="0.25">
      <c r="A22" s="122"/>
      <c r="B22" s="123"/>
      <c r="C22" s="125"/>
      <c r="D22" s="126"/>
    </row>
    <row r="23" spans="1:4" x14ac:dyDescent="0.25">
      <c r="A23" s="122"/>
      <c r="B23" s="123"/>
      <c r="C23" s="124"/>
      <c r="D23" s="51"/>
    </row>
    <row r="24" spans="1:4" x14ac:dyDescent="0.25">
      <c r="A24" s="122"/>
      <c r="B24" s="123"/>
      <c r="C24" s="125"/>
      <c r="D24" s="127"/>
    </row>
    <row r="25" spans="1:4" ht="15.75" thickBot="1" x14ac:dyDescent="0.3">
      <c r="A25" s="128"/>
      <c r="B25" s="129"/>
      <c r="C25" s="130"/>
      <c r="D25" s="54"/>
    </row>
    <row r="26" spans="1:4" x14ac:dyDescent="0.25">
      <c r="A26" s="110"/>
      <c r="B26" s="111"/>
      <c r="C26" s="110"/>
      <c r="D26" s="112"/>
    </row>
    <row r="27" spans="1:4" x14ac:dyDescent="0.25">
      <c r="A27" s="110"/>
      <c r="B27" s="111"/>
      <c r="C27" s="110"/>
      <c r="D27" s="112"/>
    </row>
    <row r="28" spans="1:4" ht="15.75" x14ac:dyDescent="0.25">
      <c r="A28" s="63" t="s">
        <v>20</v>
      </c>
      <c r="B28" s="62"/>
      <c r="C28" s="61"/>
      <c r="D28" s="53"/>
    </row>
    <row r="29" spans="1:4" ht="15.75" thickBot="1" x14ac:dyDescent="0.3">
      <c r="A29" s="61"/>
      <c r="B29" s="62"/>
      <c r="C29" s="61"/>
      <c r="D29" s="53"/>
    </row>
    <row r="30" spans="1:4" x14ac:dyDescent="0.25">
      <c r="A30" s="160" t="s">
        <v>49</v>
      </c>
      <c r="B30" s="161"/>
      <c r="C30" s="168" t="s">
        <v>21</v>
      </c>
      <c r="D30" s="102"/>
    </row>
    <row r="31" spans="1:4" x14ac:dyDescent="0.25">
      <c r="A31" s="162"/>
      <c r="B31" s="163"/>
      <c r="C31" s="169" t="s">
        <v>22</v>
      </c>
      <c r="D31" s="102"/>
    </row>
    <row r="32" spans="1:4" x14ac:dyDescent="0.25">
      <c r="A32" s="164" t="s">
        <v>0</v>
      </c>
      <c r="B32" s="165"/>
      <c r="C32" s="104">
        <v>0</v>
      </c>
      <c r="D32" s="53"/>
    </row>
    <row r="33" spans="1:4" x14ac:dyDescent="0.25">
      <c r="A33" s="164" t="s">
        <v>1</v>
      </c>
      <c r="B33" s="165"/>
      <c r="C33" s="104">
        <v>0</v>
      </c>
      <c r="D33" s="53"/>
    </row>
    <row r="34" spans="1:4" x14ac:dyDescent="0.25">
      <c r="A34" s="164" t="s">
        <v>2</v>
      </c>
      <c r="B34" s="165"/>
      <c r="C34" s="105">
        <f>SUM(C32:C32)</f>
        <v>0</v>
      </c>
      <c r="D34" s="53"/>
    </row>
    <row r="35" spans="1:4" x14ac:dyDescent="0.25">
      <c r="A35" s="164" t="s">
        <v>32</v>
      </c>
      <c r="B35" s="165"/>
      <c r="C35" s="104">
        <f>C62</f>
        <v>172972425</v>
      </c>
      <c r="D35" s="112"/>
    </row>
    <row r="36" spans="1:4" x14ac:dyDescent="0.25">
      <c r="A36" s="164" t="s">
        <v>33</v>
      </c>
      <c r="B36" s="165"/>
      <c r="C36" s="146">
        <v>0</v>
      </c>
      <c r="D36" s="112"/>
    </row>
    <row r="37" spans="1:4" ht="30.75" thickBot="1" x14ac:dyDescent="0.3">
      <c r="A37" s="166" t="s">
        <v>23</v>
      </c>
      <c r="B37" s="167"/>
      <c r="C37" s="147">
        <f>ROUNDUP((C36*C60),-3)</f>
        <v>0</v>
      </c>
      <c r="D37" s="112"/>
    </row>
    <row r="38" spans="1:4" x14ac:dyDescent="0.25">
      <c r="A38" s="61"/>
      <c r="B38" s="61"/>
      <c r="C38" s="61"/>
      <c r="D38" s="112"/>
    </row>
    <row r="39" spans="1:4" ht="15.75" thickBot="1" x14ac:dyDescent="0.3">
      <c r="A39" s="110"/>
      <c r="B39" s="110"/>
      <c r="C39" s="110"/>
      <c r="D39" s="112"/>
    </row>
    <row r="40" spans="1:4" x14ac:dyDescent="0.25">
      <c r="A40" s="175" t="s">
        <v>99</v>
      </c>
      <c r="B40" s="176"/>
      <c r="C40" s="131"/>
      <c r="D40" s="112"/>
    </row>
    <row r="41" spans="1:4" x14ac:dyDescent="0.25">
      <c r="A41" s="177"/>
      <c r="B41" s="178"/>
      <c r="C41" s="132"/>
      <c r="D41" s="112"/>
    </row>
    <row r="42" spans="1:4" x14ac:dyDescent="0.25">
      <c r="A42" s="179"/>
      <c r="B42" s="180"/>
      <c r="C42" s="133"/>
      <c r="D42" s="112"/>
    </row>
    <row r="43" spans="1:4" x14ac:dyDescent="0.25">
      <c r="A43" s="179"/>
      <c r="B43" s="180"/>
      <c r="C43" s="133"/>
      <c r="D43" s="112"/>
    </row>
    <row r="44" spans="1:4" x14ac:dyDescent="0.25">
      <c r="A44" s="179"/>
      <c r="B44" s="180"/>
      <c r="C44" s="133"/>
      <c r="D44" s="112"/>
    </row>
    <row r="45" spans="1:4" x14ac:dyDescent="0.25">
      <c r="A45" s="179"/>
      <c r="B45" s="180"/>
      <c r="C45" s="26"/>
      <c r="D45" s="112"/>
    </row>
    <row r="46" spans="1:4" x14ac:dyDescent="0.25">
      <c r="A46" s="179"/>
      <c r="B46" s="180"/>
      <c r="C46" s="133"/>
      <c r="D46" s="112"/>
    </row>
    <row r="47" spans="1:4" x14ac:dyDescent="0.25">
      <c r="A47" s="179"/>
      <c r="B47" s="180"/>
      <c r="C47" s="42"/>
      <c r="D47" s="112"/>
    </row>
    <row r="48" spans="1:4" ht="15.75" thickBot="1" x14ac:dyDescent="0.3">
      <c r="A48" s="181"/>
      <c r="B48" s="182"/>
      <c r="C48" s="29"/>
      <c r="D48" s="112"/>
    </row>
    <row r="49" spans="1:4" x14ac:dyDescent="0.25">
      <c r="A49" s="192"/>
      <c r="B49" s="193"/>
      <c r="C49" s="110"/>
      <c r="D49" s="112"/>
    </row>
    <row r="50" spans="1:4" ht="15.75" thickBot="1" x14ac:dyDescent="0.3">
      <c r="A50" s="61"/>
      <c r="B50" s="62"/>
      <c r="C50" s="61"/>
      <c r="D50" s="53"/>
    </row>
    <row r="51" spans="1:4" ht="15.75" x14ac:dyDescent="0.25">
      <c r="A51" s="63" t="s">
        <v>24</v>
      </c>
      <c r="B51" s="62"/>
      <c r="C51" s="212" t="s">
        <v>34</v>
      </c>
      <c r="D51" s="214" t="s">
        <v>36</v>
      </c>
    </row>
    <row r="52" spans="1:4" ht="15.75" thickBot="1" x14ac:dyDescent="0.3">
      <c r="A52" s="61" t="s">
        <v>79</v>
      </c>
      <c r="B52" s="62"/>
      <c r="C52" s="213"/>
      <c r="D52" s="215"/>
    </row>
    <row r="53" spans="1:4" x14ac:dyDescent="0.25">
      <c r="A53" s="151" t="s">
        <v>25</v>
      </c>
      <c r="B53" s="152">
        <f>ROUNDUP((D14+C37),-3)</f>
        <v>135000</v>
      </c>
      <c r="C53" s="153">
        <f>B53/(C60+C61)</f>
        <v>1.0438935267574733E-3</v>
      </c>
      <c r="D53" s="154">
        <f>B53/C62</f>
        <v>7.8047122250844323E-4</v>
      </c>
    </row>
    <row r="54" spans="1:4" ht="15.75" thickBot="1" x14ac:dyDescent="0.3">
      <c r="A54" s="98" t="s">
        <v>26</v>
      </c>
      <c r="B54" s="155">
        <f>D23+C48</f>
        <v>0</v>
      </c>
      <c r="C54" s="156">
        <f>B53/(C60+C61)</f>
        <v>1.0438935267574733E-3</v>
      </c>
      <c r="D54" s="157">
        <f>B53/C62</f>
        <v>7.8047122250844323E-4</v>
      </c>
    </row>
    <row r="55" spans="1:4" ht="15.75" thickBot="1" x14ac:dyDescent="0.3">
      <c r="A55" s="158" t="s">
        <v>28</v>
      </c>
      <c r="B55" s="159" t="s">
        <v>67</v>
      </c>
      <c r="C55" s="61"/>
      <c r="D55" s="53"/>
    </row>
    <row r="56" spans="1:4" x14ac:dyDescent="0.25">
      <c r="A56" s="61"/>
      <c r="B56" s="62"/>
      <c r="C56" s="61"/>
      <c r="D56" s="53"/>
    </row>
    <row r="57" spans="1:4" x14ac:dyDescent="0.25">
      <c r="A57" s="110"/>
      <c r="B57" s="111"/>
      <c r="C57" s="110"/>
      <c r="D57" s="112"/>
    </row>
    <row r="59" spans="1:4" x14ac:dyDescent="0.25">
      <c r="A59" s="68" t="s">
        <v>14</v>
      </c>
    </row>
    <row r="60" spans="1:4" x14ac:dyDescent="0.25">
      <c r="A60" s="61" t="s">
        <v>100</v>
      </c>
      <c r="B60" s="1"/>
      <c r="C60" s="1">
        <v>82538430</v>
      </c>
    </row>
    <row r="61" spans="1:4" x14ac:dyDescent="0.25">
      <c r="A61" s="61" t="s">
        <v>101</v>
      </c>
      <c r="B61" s="1"/>
      <c r="C61" s="1">
        <v>46785104</v>
      </c>
    </row>
    <row r="62" spans="1:4" x14ac:dyDescent="0.25">
      <c r="A62" s="61" t="s">
        <v>102</v>
      </c>
      <c r="B62" s="1"/>
      <c r="C62" s="1">
        <v>172972425</v>
      </c>
    </row>
    <row r="63" spans="1:4" x14ac:dyDescent="0.25">
      <c r="A63" s="61"/>
    </row>
    <row r="64" spans="1:4" x14ac:dyDescent="0.25">
      <c r="A64" s="174" t="s">
        <v>103</v>
      </c>
    </row>
    <row r="65" spans="1:1" x14ac:dyDescent="0.25">
      <c r="A65" s="174"/>
    </row>
    <row r="66" spans="1:1" x14ac:dyDescent="0.25">
      <c r="A66" s="174"/>
    </row>
  </sheetData>
  <mergeCells count="2">
    <mergeCell ref="C51:C52"/>
    <mergeCell ref="D51:D52"/>
  </mergeCells>
  <hyperlinks>
    <hyperlink ref="A6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3"/>
  <sheetViews>
    <sheetView workbookViewId="0"/>
  </sheetViews>
  <sheetFormatPr defaultRowHeight="15" x14ac:dyDescent="0.25"/>
  <cols>
    <col min="1" max="1" width="28.42578125" style="110" bestFit="1" customWidth="1"/>
    <col min="2" max="2" width="25.7109375" style="111" customWidth="1"/>
    <col min="3" max="3" width="25.7109375" style="110" customWidth="1"/>
    <col min="4" max="4" width="25.7109375" style="112" customWidth="1"/>
    <col min="5" max="5" width="24.85546875" style="110" customWidth="1"/>
    <col min="6" max="6" width="9.140625" style="110"/>
    <col min="7" max="7" width="14.28515625" style="110" bestFit="1" customWidth="1"/>
    <col min="8" max="8" width="9.140625" style="110"/>
    <col min="9" max="9" width="9.140625" style="113"/>
    <col min="10" max="16384" width="9.140625" style="110"/>
  </cols>
  <sheetData>
    <row r="1" spans="1:9" x14ac:dyDescent="0.25">
      <c r="A1" s="61" t="s">
        <v>50</v>
      </c>
      <c r="B1" s="62"/>
      <c r="C1" s="61"/>
      <c r="D1" s="53"/>
      <c r="E1" s="61"/>
    </row>
    <row r="2" spans="1:9" x14ac:dyDescent="0.25">
      <c r="A2" s="61" t="s">
        <v>7</v>
      </c>
      <c r="B2" s="62"/>
      <c r="C2" s="61"/>
      <c r="D2" s="53"/>
      <c r="E2" s="61"/>
    </row>
    <row r="3" spans="1:9" x14ac:dyDescent="0.25">
      <c r="A3" s="61" t="s">
        <v>8</v>
      </c>
      <c r="B3" s="62"/>
      <c r="C3" s="61"/>
      <c r="D3" s="53"/>
      <c r="E3" s="61"/>
    </row>
    <row r="4" spans="1:9" x14ac:dyDescent="0.25">
      <c r="A4" s="61"/>
      <c r="B4" s="62"/>
      <c r="C4" s="61"/>
      <c r="D4" s="53"/>
      <c r="E4" s="61"/>
    </row>
    <row r="5" spans="1:9" ht="15.75" x14ac:dyDescent="0.25">
      <c r="A5" s="63" t="s">
        <v>19</v>
      </c>
      <c r="B5" s="62"/>
      <c r="C5" s="61"/>
      <c r="D5" s="53"/>
      <c r="E5" s="61"/>
    </row>
    <row r="6" spans="1:9" ht="15.75" thickBot="1" x14ac:dyDescent="0.3">
      <c r="A6" s="61"/>
      <c r="B6" s="62"/>
      <c r="C6" s="61"/>
      <c r="D6" s="53"/>
      <c r="E6" s="61"/>
    </row>
    <row r="7" spans="1:9" s="114" customFormat="1" x14ac:dyDescent="0.25">
      <c r="A7" s="64" t="s">
        <v>5</v>
      </c>
      <c r="B7" s="65" t="s">
        <v>9</v>
      </c>
      <c r="C7" s="66" t="s">
        <v>11</v>
      </c>
      <c r="D7" s="67" t="s">
        <v>50</v>
      </c>
      <c r="E7" s="67" t="s">
        <v>51</v>
      </c>
      <c r="I7" s="115"/>
    </row>
    <row r="8" spans="1:9" s="116" customFormat="1" x14ac:dyDescent="0.25">
      <c r="A8" s="69"/>
      <c r="B8" s="70" t="s">
        <v>10</v>
      </c>
      <c r="C8" s="71" t="s">
        <v>97</v>
      </c>
      <c r="D8" s="72" t="s">
        <v>37</v>
      </c>
      <c r="E8" s="72" t="s">
        <v>37</v>
      </c>
      <c r="I8" s="115"/>
    </row>
    <row r="9" spans="1:9" x14ac:dyDescent="0.25">
      <c r="A9" s="73" t="s">
        <v>3</v>
      </c>
      <c r="B9" s="74">
        <v>10017459</v>
      </c>
      <c r="C9" s="75"/>
      <c r="D9" s="76">
        <f>B9/100*0.52</f>
        <v>52090.786800000002</v>
      </c>
      <c r="E9" s="76">
        <f>B9/100*1.67</f>
        <v>167291.56529999999</v>
      </c>
    </row>
    <row r="10" spans="1:9" x14ac:dyDescent="0.25">
      <c r="A10" s="73" t="s">
        <v>4</v>
      </c>
      <c r="B10" s="74">
        <v>71634075</v>
      </c>
      <c r="C10" s="75">
        <f>B10*0.1</f>
        <v>7163407.5</v>
      </c>
      <c r="D10" s="76">
        <f>C10/100*0.52</f>
        <v>37249.718999999997</v>
      </c>
      <c r="E10" s="76">
        <f>C10/100*1.67</f>
        <v>119628.90525</v>
      </c>
    </row>
    <row r="11" spans="1:9" x14ac:dyDescent="0.25">
      <c r="A11" s="73" t="s">
        <v>2</v>
      </c>
      <c r="B11" s="74"/>
      <c r="C11" s="75">
        <f>SUM(C9:C10)</f>
        <v>7163407.5</v>
      </c>
      <c r="D11" s="78">
        <f>SUM(D9:D10)</f>
        <v>89340.505799999999</v>
      </c>
      <c r="E11" s="78">
        <f>SUM(E9:E10)</f>
        <v>286920.47054999997</v>
      </c>
    </row>
    <row r="12" spans="1:9" x14ac:dyDescent="0.25">
      <c r="A12" s="73" t="s">
        <v>52</v>
      </c>
      <c r="B12" s="117"/>
      <c r="C12" s="118"/>
      <c r="D12" s="194">
        <f>C57</f>
        <v>12203683</v>
      </c>
      <c r="E12" s="137"/>
      <c r="G12" s="119"/>
    </row>
    <row r="13" spans="1:9" x14ac:dyDescent="0.25">
      <c r="A13" s="73" t="s">
        <v>66</v>
      </c>
      <c r="B13" s="135"/>
      <c r="C13" s="136"/>
      <c r="D13" s="195"/>
      <c r="E13" s="138">
        <f>C61</f>
        <v>94500000</v>
      </c>
      <c r="G13" s="119"/>
    </row>
    <row r="14" spans="1:9" ht="15.75" thickBot="1" x14ac:dyDescent="0.3">
      <c r="A14" s="79" t="s">
        <v>30</v>
      </c>
      <c r="B14" s="120"/>
      <c r="C14" s="121"/>
      <c r="D14" s="82">
        <f>D11/D12</f>
        <v>7.3207822425410424E-3</v>
      </c>
      <c r="E14" s="82">
        <f>E11/E13</f>
        <v>3.0361954555555553E-3</v>
      </c>
    </row>
    <row r="15" spans="1:9" ht="15.75" thickBot="1" x14ac:dyDescent="0.3">
      <c r="D15" s="53"/>
      <c r="E15" s="53"/>
    </row>
    <row r="16" spans="1:9" x14ac:dyDescent="0.25">
      <c r="A16" s="83" t="s">
        <v>65</v>
      </c>
      <c r="B16" s="84"/>
      <c r="C16" s="85"/>
      <c r="D16" s="86"/>
      <c r="E16" s="86"/>
    </row>
    <row r="17" spans="1:9" x14ac:dyDescent="0.25">
      <c r="A17" s="87"/>
      <c r="B17" s="88"/>
      <c r="C17" s="89"/>
      <c r="D17" s="90"/>
      <c r="E17" s="90"/>
    </row>
    <row r="18" spans="1:9" x14ac:dyDescent="0.25">
      <c r="A18" s="91"/>
      <c r="B18" s="92"/>
      <c r="C18" s="93"/>
      <c r="D18" s="94"/>
      <c r="E18" s="94"/>
    </row>
    <row r="19" spans="1:9" x14ac:dyDescent="0.25">
      <c r="A19" s="91"/>
      <c r="B19" s="92"/>
      <c r="C19" s="93"/>
      <c r="D19" s="94"/>
      <c r="E19" s="94"/>
    </row>
    <row r="20" spans="1:9" x14ac:dyDescent="0.25">
      <c r="A20" s="122"/>
      <c r="B20" s="123"/>
      <c r="C20" s="125"/>
      <c r="D20" s="126"/>
      <c r="E20" s="126"/>
    </row>
    <row r="21" spans="1:9" x14ac:dyDescent="0.25">
      <c r="A21" s="122"/>
      <c r="B21" s="123"/>
      <c r="C21" s="124"/>
      <c r="D21" s="51"/>
      <c r="E21" s="51"/>
    </row>
    <row r="22" spans="1:9" x14ac:dyDescent="0.25">
      <c r="A22" s="122"/>
      <c r="B22" s="123"/>
      <c r="C22" s="125"/>
      <c r="D22" s="127"/>
      <c r="E22" s="127"/>
    </row>
    <row r="23" spans="1:9" ht="15.75" thickBot="1" x14ac:dyDescent="0.3">
      <c r="A23" s="128"/>
      <c r="B23" s="129"/>
      <c r="C23" s="130"/>
      <c r="D23" s="54"/>
      <c r="E23" s="54"/>
    </row>
    <row r="26" spans="1:9" ht="15.75" x14ac:dyDescent="0.25">
      <c r="A26" s="63" t="s">
        <v>20</v>
      </c>
      <c r="B26" s="62"/>
      <c r="C26" s="61"/>
      <c r="D26" s="53"/>
    </row>
    <row r="27" spans="1:9" ht="15.75" thickBot="1" x14ac:dyDescent="0.3">
      <c r="A27" s="61"/>
      <c r="B27" s="62"/>
      <c r="C27" s="61"/>
      <c r="D27" s="53"/>
    </row>
    <row r="28" spans="1:9" s="114" customFormat="1" x14ac:dyDescent="0.25">
      <c r="A28" s="160" t="s">
        <v>49</v>
      </c>
      <c r="B28" s="161"/>
      <c r="C28" s="168" t="s">
        <v>21</v>
      </c>
      <c r="D28" s="102"/>
      <c r="I28" s="115"/>
    </row>
    <row r="29" spans="1:9" s="116" customFormat="1" x14ac:dyDescent="0.25">
      <c r="A29" s="162"/>
      <c r="B29" s="163"/>
      <c r="C29" s="169" t="s">
        <v>22</v>
      </c>
      <c r="D29" s="102"/>
      <c r="I29" s="115"/>
    </row>
    <row r="30" spans="1:9" x14ac:dyDescent="0.25">
      <c r="A30" s="164" t="s">
        <v>0</v>
      </c>
      <c r="B30" s="165"/>
      <c r="C30" s="104">
        <v>25157</v>
      </c>
      <c r="D30" s="53"/>
    </row>
    <row r="31" spans="1:9" s="112" customFormat="1" x14ac:dyDescent="0.25">
      <c r="A31" s="164" t="s">
        <v>1</v>
      </c>
      <c r="B31" s="165"/>
      <c r="C31" s="104">
        <v>0</v>
      </c>
      <c r="D31" s="53"/>
      <c r="E31" s="110"/>
      <c r="F31" s="110"/>
      <c r="G31" s="110"/>
      <c r="H31" s="110"/>
      <c r="I31" s="113"/>
    </row>
    <row r="32" spans="1:9" s="112" customFormat="1" x14ac:dyDescent="0.25">
      <c r="A32" s="164" t="s">
        <v>2</v>
      </c>
      <c r="B32" s="165"/>
      <c r="C32" s="105">
        <f>SUM(C30:C30)</f>
        <v>25157</v>
      </c>
      <c r="D32" s="53"/>
      <c r="E32" s="110"/>
      <c r="F32" s="110"/>
      <c r="G32" s="110"/>
      <c r="H32" s="110"/>
      <c r="I32" s="113"/>
    </row>
    <row r="33" spans="1:9" s="112" customFormat="1" x14ac:dyDescent="0.25">
      <c r="A33" s="164" t="s">
        <v>32</v>
      </c>
      <c r="B33" s="165"/>
      <c r="C33" s="104">
        <f>C60</f>
        <v>3271344</v>
      </c>
      <c r="E33" s="110"/>
      <c r="F33" s="110"/>
      <c r="G33" s="110"/>
      <c r="H33" s="110"/>
      <c r="I33" s="113"/>
    </row>
    <row r="34" spans="1:9" s="112" customFormat="1" x14ac:dyDescent="0.25">
      <c r="A34" s="164" t="s">
        <v>33</v>
      </c>
      <c r="B34" s="165"/>
      <c r="C34" s="146">
        <f>C32/C33</f>
        <v>7.6901114648902716E-3</v>
      </c>
      <c r="E34" s="110"/>
      <c r="F34" s="110"/>
      <c r="G34" s="110"/>
      <c r="H34" s="110"/>
      <c r="I34" s="113"/>
    </row>
    <row r="35" spans="1:9" s="112" customFormat="1" ht="30.75" thickBot="1" x14ac:dyDescent="0.3">
      <c r="A35" s="166" t="s">
        <v>23</v>
      </c>
      <c r="B35" s="167"/>
      <c r="C35" s="147">
        <f>ROUNDUP((C34*C58),-3)</f>
        <v>48000</v>
      </c>
      <c r="E35" s="110"/>
      <c r="F35" s="110"/>
      <c r="G35" s="110"/>
      <c r="H35" s="110"/>
      <c r="I35" s="113"/>
    </row>
    <row r="36" spans="1:9" s="112" customFormat="1" x14ac:dyDescent="0.25">
      <c r="A36" s="61"/>
      <c r="B36" s="61"/>
      <c r="C36" s="61"/>
      <c r="E36" s="110"/>
      <c r="F36" s="110"/>
      <c r="G36" s="110"/>
      <c r="H36" s="110"/>
      <c r="I36" s="113"/>
    </row>
    <row r="37" spans="1:9" s="112" customFormat="1" ht="15.75" thickBot="1" x14ac:dyDescent="0.3">
      <c r="A37" s="110"/>
      <c r="B37" s="110"/>
      <c r="C37" s="110"/>
      <c r="E37" s="110"/>
      <c r="F37" s="110"/>
      <c r="G37" s="110"/>
      <c r="H37" s="110"/>
      <c r="I37" s="113"/>
    </row>
    <row r="38" spans="1:9" s="112" customFormat="1" x14ac:dyDescent="0.25">
      <c r="A38" s="175" t="s">
        <v>65</v>
      </c>
      <c r="B38" s="176"/>
      <c r="C38" s="131"/>
      <c r="E38" s="110"/>
      <c r="F38" s="110"/>
      <c r="G38" s="110"/>
      <c r="H38" s="110"/>
      <c r="I38" s="113"/>
    </row>
    <row r="39" spans="1:9" s="112" customFormat="1" x14ac:dyDescent="0.25">
      <c r="A39" s="177"/>
      <c r="B39" s="178"/>
      <c r="C39" s="132"/>
      <c r="E39" s="110"/>
      <c r="F39" s="110"/>
      <c r="G39" s="110"/>
      <c r="H39" s="110"/>
      <c r="I39" s="113"/>
    </row>
    <row r="40" spans="1:9" s="112" customFormat="1" x14ac:dyDescent="0.25">
      <c r="A40" s="179"/>
      <c r="B40" s="180"/>
      <c r="C40" s="133"/>
      <c r="E40" s="110"/>
      <c r="F40" s="110"/>
      <c r="G40" s="110"/>
      <c r="H40" s="110"/>
      <c r="I40" s="113"/>
    </row>
    <row r="41" spans="1:9" s="112" customFormat="1" x14ac:dyDescent="0.25">
      <c r="A41" s="179"/>
      <c r="B41" s="180"/>
      <c r="C41" s="133"/>
      <c r="E41" s="110"/>
      <c r="F41" s="110"/>
      <c r="G41" s="110"/>
      <c r="H41" s="110"/>
      <c r="I41" s="113"/>
    </row>
    <row r="42" spans="1:9" s="112" customFormat="1" x14ac:dyDescent="0.25">
      <c r="A42" s="179"/>
      <c r="B42" s="180"/>
      <c r="C42" s="133"/>
      <c r="E42" s="110"/>
      <c r="F42" s="110"/>
      <c r="G42" s="110"/>
      <c r="H42" s="110"/>
      <c r="I42" s="113"/>
    </row>
    <row r="43" spans="1:9" s="112" customFormat="1" x14ac:dyDescent="0.25">
      <c r="A43" s="179"/>
      <c r="B43" s="180"/>
      <c r="C43" s="26"/>
      <c r="E43" s="110"/>
      <c r="F43" s="110"/>
      <c r="G43" s="110"/>
      <c r="H43" s="110"/>
      <c r="I43" s="113"/>
    </row>
    <row r="44" spans="1:9" s="112" customFormat="1" x14ac:dyDescent="0.25">
      <c r="A44" s="179"/>
      <c r="B44" s="180"/>
      <c r="C44" s="133"/>
      <c r="E44" s="110"/>
      <c r="F44" s="110"/>
      <c r="G44" s="110"/>
      <c r="H44" s="110"/>
      <c r="I44" s="113"/>
    </row>
    <row r="45" spans="1:9" s="112" customFormat="1" x14ac:dyDescent="0.25">
      <c r="A45" s="179"/>
      <c r="B45" s="180"/>
      <c r="C45" s="42"/>
      <c r="E45" s="110"/>
      <c r="F45" s="110"/>
      <c r="G45" s="110"/>
      <c r="H45" s="110"/>
      <c r="I45" s="113"/>
    </row>
    <row r="46" spans="1:9" s="112" customFormat="1" ht="15.75" thickBot="1" x14ac:dyDescent="0.3">
      <c r="A46" s="181"/>
      <c r="B46" s="182"/>
      <c r="C46" s="29"/>
      <c r="E46" s="110"/>
      <c r="F46" s="110"/>
      <c r="G46" s="110"/>
      <c r="H46" s="110"/>
      <c r="I46" s="113"/>
    </row>
    <row r="47" spans="1:9" x14ac:dyDescent="0.25">
      <c r="A47" s="192"/>
      <c r="B47" s="193"/>
    </row>
    <row r="48" spans="1:9" s="61" customFormat="1" ht="15.75" thickBot="1" x14ac:dyDescent="0.3">
      <c r="B48" s="62"/>
      <c r="D48" s="53"/>
      <c r="I48" s="148"/>
    </row>
    <row r="49" spans="1:9" s="61" customFormat="1" ht="15.75" x14ac:dyDescent="0.25">
      <c r="A49" s="63" t="s">
        <v>24</v>
      </c>
      <c r="B49" s="62"/>
      <c r="C49" s="212" t="s">
        <v>34</v>
      </c>
      <c r="D49" s="214" t="s">
        <v>36</v>
      </c>
      <c r="I49" s="148"/>
    </row>
    <row r="50" spans="1:9" s="61" customFormat="1" ht="15.75" thickBot="1" x14ac:dyDescent="0.3">
      <c r="A50" s="61" t="s">
        <v>79</v>
      </c>
      <c r="B50" s="62"/>
      <c r="C50" s="213"/>
      <c r="D50" s="215"/>
      <c r="I50" s="148"/>
    </row>
    <row r="51" spans="1:9" s="61" customFormat="1" x14ac:dyDescent="0.25">
      <c r="A51" s="151" t="s">
        <v>25</v>
      </c>
      <c r="B51" s="152">
        <f>ROUNDUP((D11+C35),-3)</f>
        <v>138000</v>
      </c>
      <c r="C51" s="153">
        <f>B51/(C57+C58)</f>
        <v>7.5124457545617555E-3</v>
      </c>
      <c r="D51" s="154">
        <f>B51/C59</f>
        <v>5.4336931737575776E-3</v>
      </c>
      <c r="I51" s="148"/>
    </row>
    <row r="52" spans="1:9" s="61" customFormat="1" ht="15.75" thickBot="1" x14ac:dyDescent="0.3">
      <c r="A52" s="98" t="s">
        <v>26</v>
      </c>
      <c r="B52" s="155">
        <f>D21+C46</f>
        <v>0</v>
      </c>
      <c r="C52" s="156">
        <f>B51/(C57+C58)</f>
        <v>7.5124457545617555E-3</v>
      </c>
      <c r="D52" s="157">
        <f>B51/C59</f>
        <v>5.4336931737575776E-3</v>
      </c>
      <c r="I52" s="148"/>
    </row>
    <row r="53" spans="1:9" s="61" customFormat="1" ht="15.75" thickBot="1" x14ac:dyDescent="0.3">
      <c r="A53" s="158" t="s">
        <v>28</v>
      </c>
      <c r="B53" s="159" t="s">
        <v>67</v>
      </c>
      <c r="D53" s="53"/>
      <c r="I53" s="148"/>
    </row>
    <row r="54" spans="1:9" s="61" customFormat="1" x14ac:dyDescent="0.25">
      <c r="B54" s="62"/>
      <c r="D54" s="53"/>
      <c r="I54" s="148"/>
    </row>
    <row r="56" spans="1:9" x14ac:dyDescent="0.25">
      <c r="A56" s="68" t="s">
        <v>14</v>
      </c>
      <c r="C56" s="111"/>
    </row>
    <row r="57" spans="1:9" x14ac:dyDescent="0.25">
      <c r="A57" s="61" t="s">
        <v>53</v>
      </c>
      <c r="C57" s="1">
        <v>12203683</v>
      </c>
    </row>
    <row r="58" spans="1:9" x14ac:dyDescent="0.25">
      <c r="A58" s="61" t="s">
        <v>54</v>
      </c>
      <c r="C58" s="1">
        <v>6165834</v>
      </c>
    </row>
    <row r="59" spans="1:9" x14ac:dyDescent="0.25">
      <c r="A59" s="61" t="s">
        <v>55</v>
      </c>
      <c r="C59" s="1">
        <v>25397091</v>
      </c>
      <c r="E59" s="119"/>
    </row>
    <row r="60" spans="1:9" x14ac:dyDescent="0.25">
      <c r="A60" s="61" t="s">
        <v>56</v>
      </c>
      <c r="C60" s="109">
        <v>3271344</v>
      </c>
    </row>
    <row r="61" spans="1:9" x14ac:dyDescent="0.25">
      <c r="A61" s="62" t="s">
        <v>60</v>
      </c>
      <c r="B61" s="62"/>
      <c r="C61" s="62">
        <v>94500000</v>
      </c>
    </row>
    <row r="62" spans="1:9" x14ac:dyDescent="0.25">
      <c r="A62" s="174" t="s">
        <v>74</v>
      </c>
    </row>
    <row r="63" spans="1:9" x14ac:dyDescent="0.25">
      <c r="A63" s="174" t="s">
        <v>73</v>
      </c>
    </row>
  </sheetData>
  <mergeCells count="2">
    <mergeCell ref="C49:C50"/>
    <mergeCell ref="D49:D50"/>
  </mergeCells>
  <hyperlinks>
    <hyperlink ref="A63" r:id="rId1" xr:uid="{00000000-0004-0000-0200-000000000000}"/>
    <hyperlink ref="A62" r:id="rId2" xr:uid="{00000000-0004-0000-0200-000001000000}"/>
  </hyperlinks>
  <pageMargins left="0.7" right="0.7" top="0.75" bottom="0.75" header="0.3" footer="0.3"/>
  <pageSetup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8"/>
  <sheetViews>
    <sheetView workbookViewId="0"/>
  </sheetViews>
  <sheetFormatPr defaultRowHeight="15" x14ac:dyDescent="0.25"/>
  <cols>
    <col min="1" max="1" width="28.42578125" style="2" bestFit="1" customWidth="1"/>
    <col min="2" max="2" width="25.7109375" style="1" customWidth="1"/>
    <col min="3" max="3" width="25.7109375" style="2" customWidth="1"/>
    <col min="4" max="4" width="25.7109375" style="48" customWidth="1"/>
    <col min="5" max="5" width="24.85546875" style="2" customWidth="1"/>
    <col min="6" max="6" width="14.28515625" style="2" bestFit="1" customWidth="1"/>
    <col min="7" max="16384" width="9.140625" style="2"/>
  </cols>
  <sheetData>
    <row r="1" spans="1:5" x14ac:dyDescent="0.25">
      <c r="A1" s="2" t="s">
        <v>27</v>
      </c>
    </row>
    <row r="2" spans="1:5" x14ac:dyDescent="0.25">
      <c r="A2" s="2" t="s">
        <v>6</v>
      </c>
    </row>
    <row r="3" spans="1:5" x14ac:dyDescent="0.25">
      <c r="A3" s="2" t="s">
        <v>7</v>
      </c>
    </row>
    <row r="4" spans="1:5" x14ac:dyDescent="0.25">
      <c r="A4" s="2" t="s">
        <v>8</v>
      </c>
    </row>
    <row r="6" spans="1:5" ht="15.75" x14ac:dyDescent="0.25">
      <c r="A6" s="20" t="s">
        <v>19</v>
      </c>
    </row>
    <row r="7" spans="1:5" ht="15.75" thickBot="1" x14ac:dyDescent="0.3"/>
    <row r="8" spans="1:5" s="6" customFormat="1" x14ac:dyDescent="0.25">
      <c r="A8" s="7" t="s">
        <v>5</v>
      </c>
      <c r="B8" s="8" t="s">
        <v>9</v>
      </c>
      <c r="C8" s="9" t="s">
        <v>11</v>
      </c>
      <c r="D8" s="43" t="s">
        <v>27</v>
      </c>
      <c r="E8" s="43" t="s">
        <v>38</v>
      </c>
    </row>
    <row r="9" spans="1:5" s="14" customFormat="1" x14ac:dyDescent="0.25">
      <c r="A9" s="10"/>
      <c r="B9" s="11" t="s">
        <v>10</v>
      </c>
      <c r="C9" s="12" t="s">
        <v>12</v>
      </c>
      <c r="D9" s="44" t="s">
        <v>37</v>
      </c>
      <c r="E9" s="44" t="s">
        <v>37</v>
      </c>
    </row>
    <row r="10" spans="1:5" x14ac:dyDescent="0.25">
      <c r="A10" s="30" t="s">
        <v>3</v>
      </c>
      <c r="B10" s="37">
        <v>100074350</v>
      </c>
      <c r="C10" s="38">
        <f>B10*1</f>
        <v>100074350</v>
      </c>
      <c r="D10" s="49">
        <f>C10/100*0.52517</f>
        <v>525560.46389500005</v>
      </c>
      <c r="E10" s="49">
        <f>C10/100*1.59</f>
        <v>1591182.165</v>
      </c>
    </row>
    <row r="11" spans="1:5" x14ac:dyDescent="0.25">
      <c r="A11" s="30" t="s">
        <v>4</v>
      </c>
      <c r="B11" s="37">
        <f>56999080+50619567+273587413</f>
        <v>381206060</v>
      </c>
      <c r="C11" s="38">
        <f>B11*0.5</f>
        <v>190603030</v>
      </c>
      <c r="D11" s="49">
        <f>C11/100*0.52517</f>
        <v>1000989.9326510001</v>
      </c>
      <c r="E11" s="49">
        <f>C11/100*1.59</f>
        <v>3030588.1770000001</v>
      </c>
    </row>
    <row r="12" spans="1:5" x14ac:dyDescent="0.25">
      <c r="A12" s="30"/>
      <c r="B12" s="37"/>
      <c r="C12" s="39"/>
      <c r="D12" s="50"/>
      <c r="E12" s="50"/>
    </row>
    <row r="13" spans="1:5" x14ac:dyDescent="0.25">
      <c r="A13" s="30" t="s">
        <v>2</v>
      </c>
      <c r="B13" s="37"/>
      <c r="C13" s="75">
        <f>SUM(C10:C12)</f>
        <v>290677380</v>
      </c>
      <c r="D13" s="78">
        <f>SUM(D10:D12)</f>
        <v>1526550.3965460001</v>
      </c>
      <c r="E13" s="78">
        <f>SUM(E10:E12)</f>
        <v>4621770.3420000002</v>
      </c>
    </row>
    <row r="14" spans="1:5" x14ac:dyDescent="0.25">
      <c r="A14" s="30" t="s">
        <v>29</v>
      </c>
      <c r="B14" s="37"/>
      <c r="C14" s="77"/>
      <c r="D14" s="137">
        <f>C62</f>
        <v>115346977</v>
      </c>
      <c r="E14" s="137"/>
    </row>
    <row r="15" spans="1:5" x14ac:dyDescent="0.25">
      <c r="A15" s="187" t="s">
        <v>78</v>
      </c>
      <c r="B15" s="188"/>
      <c r="C15" s="141"/>
      <c r="D15" s="138"/>
      <c r="E15" s="138">
        <f>C66</f>
        <v>173216632</v>
      </c>
    </row>
    <row r="16" spans="1:5" ht="15.75" thickBot="1" x14ac:dyDescent="0.3">
      <c r="A16" s="40" t="s">
        <v>30</v>
      </c>
      <c r="B16" s="34"/>
      <c r="C16" s="81"/>
      <c r="D16" s="82">
        <f>D13/D14</f>
        <v>1.3234420495874808E-2</v>
      </c>
      <c r="E16" s="82">
        <f>E13/E15</f>
        <v>2.6682024056442804E-2</v>
      </c>
    </row>
    <row r="17" spans="1:5" ht="15.75" thickBot="1" x14ac:dyDescent="0.3">
      <c r="C17" s="61"/>
      <c r="D17" s="53"/>
      <c r="E17" s="53"/>
    </row>
    <row r="18" spans="1:5" x14ac:dyDescent="0.25">
      <c r="A18" s="15" t="s">
        <v>13</v>
      </c>
      <c r="B18" s="16" t="s">
        <v>9</v>
      </c>
      <c r="C18" s="85" t="s">
        <v>11</v>
      </c>
      <c r="D18" s="86" t="s">
        <v>27</v>
      </c>
      <c r="E18" s="86" t="s">
        <v>38</v>
      </c>
    </row>
    <row r="19" spans="1:5" x14ac:dyDescent="0.25">
      <c r="A19" s="17"/>
      <c r="B19" s="18" t="s">
        <v>10</v>
      </c>
      <c r="C19" s="89" t="s">
        <v>12</v>
      </c>
      <c r="D19" s="90" t="s">
        <v>37</v>
      </c>
      <c r="E19" s="90" t="s">
        <v>37</v>
      </c>
    </row>
    <row r="20" spans="1:5" x14ac:dyDescent="0.25">
      <c r="A20" s="23" t="s">
        <v>3</v>
      </c>
      <c r="B20" s="35">
        <v>5920549</v>
      </c>
      <c r="C20" s="93">
        <f>B20*1</f>
        <v>5920549</v>
      </c>
      <c r="D20" s="94">
        <f>C20/100*0.52517</f>
        <v>31092.947183299999</v>
      </c>
      <c r="E20" s="94">
        <f>C20/100*1.59</f>
        <v>94136.729099999997</v>
      </c>
    </row>
    <row r="21" spans="1:5" x14ac:dyDescent="0.25">
      <c r="A21" s="23" t="s">
        <v>4</v>
      </c>
      <c r="B21" s="35">
        <v>92878791</v>
      </c>
      <c r="C21" s="93">
        <f>B21*0.5</f>
        <v>46439395.5</v>
      </c>
      <c r="D21" s="94">
        <f>C21/100*0.52517</f>
        <v>243885.77334735001</v>
      </c>
      <c r="E21" s="94">
        <f>C21/100*1.59</f>
        <v>738386.38845000009</v>
      </c>
    </row>
    <row r="22" spans="1:5" x14ac:dyDescent="0.25">
      <c r="A22" s="23"/>
      <c r="B22" s="35"/>
      <c r="C22" s="95"/>
      <c r="D22" s="96"/>
      <c r="E22" s="96"/>
    </row>
    <row r="23" spans="1:5" x14ac:dyDescent="0.25">
      <c r="A23" s="23" t="s">
        <v>2</v>
      </c>
      <c r="B23" s="35"/>
      <c r="C23" s="93">
        <f>SUM(C20:C22)</f>
        <v>52359944.5</v>
      </c>
      <c r="D23" s="97">
        <f>SUM(D20:D22)</f>
        <v>274978.72053065</v>
      </c>
      <c r="E23" s="97">
        <f>SUM(E20:E22)</f>
        <v>832523.11755000008</v>
      </c>
    </row>
    <row r="24" spans="1:5" x14ac:dyDescent="0.25">
      <c r="A24" s="23" t="s">
        <v>29</v>
      </c>
      <c r="B24" s="35"/>
      <c r="C24" s="95"/>
      <c r="D24" s="144">
        <f>C62</f>
        <v>115346977</v>
      </c>
      <c r="E24" s="144"/>
    </row>
    <row r="25" spans="1:5" x14ac:dyDescent="0.25">
      <c r="A25" s="23" t="s">
        <v>78</v>
      </c>
      <c r="B25" s="189"/>
      <c r="C25" s="143"/>
      <c r="D25" s="145"/>
      <c r="E25" s="144">
        <f>C66</f>
        <v>173216632</v>
      </c>
    </row>
    <row r="26" spans="1:5" ht="15.75" thickBot="1" x14ac:dyDescent="0.3">
      <c r="A26" s="36" t="s">
        <v>31</v>
      </c>
      <c r="B26" s="28"/>
      <c r="C26" s="100"/>
      <c r="D26" s="101">
        <f>D23/D24</f>
        <v>2.3839265465158224E-3</v>
      </c>
      <c r="E26" s="101">
        <f>E23/E25</f>
        <v>4.8062539257200205E-3</v>
      </c>
    </row>
    <row r="29" spans="1:5" ht="15.75" x14ac:dyDescent="0.25">
      <c r="A29" s="20" t="s">
        <v>20</v>
      </c>
    </row>
    <row r="30" spans="1:5" ht="15.75" thickBot="1" x14ac:dyDescent="0.3"/>
    <row r="31" spans="1:5" s="6" customFormat="1" x14ac:dyDescent="0.25">
      <c r="A31" s="7" t="s">
        <v>5</v>
      </c>
      <c r="B31" s="8" t="s">
        <v>21</v>
      </c>
      <c r="C31" s="21" t="s">
        <v>11</v>
      </c>
      <c r="D31" s="52"/>
    </row>
    <row r="32" spans="1:5" s="14" customFormat="1" x14ac:dyDescent="0.25">
      <c r="A32" s="10"/>
      <c r="B32" s="11" t="s">
        <v>22</v>
      </c>
      <c r="C32" s="13" t="s">
        <v>12</v>
      </c>
      <c r="D32" s="52"/>
    </row>
    <row r="33" spans="1:6" x14ac:dyDescent="0.25">
      <c r="A33" s="30" t="s">
        <v>0</v>
      </c>
      <c r="B33" s="31">
        <v>537635</v>
      </c>
      <c r="C33" s="32">
        <f>B33</f>
        <v>537635</v>
      </c>
    </row>
    <row r="34" spans="1:6" x14ac:dyDescent="0.25">
      <c r="A34" s="30" t="s">
        <v>1</v>
      </c>
      <c r="B34" s="31">
        <v>447691</v>
      </c>
      <c r="C34" s="32">
        <f>B34*0.5</f>
        <v>223845.5</v>
      </c>
    </row>
    <row r="35" spans="1:6" x14ac:dyDescent="0.25">
      <c r="A35" s="30"/>
      <c r="B35" s="31"/>
      <c r="C35" s="104"/>
    </row>
    <row r="36" spans="1:6" x14ac:dyDescent="0.25">
      <c r="A36" s="30" t="s">
        <v>2</v>
      </c>
      <c r="B36" s="31"/>
      <c r="C36" s="105">
        <f>SUM(C33:C34)</f>
        <v>761480.5</v>
      </c>
    </row>
    <row r="37" spans="1:6" x14ac:dyDescent="0.25">
      <c r="A37" s="30" t="s">
        <v>32</v>
      </c>
      <c r="B37" s="31"/>
      <c r="C37" s="104">
        <v>19259484</v>
      </c>
    </row>
    <row r="38" spans="1:6" x14ac:dyDescent="0.25">
      <c r="A38" s="30" t="s">
        <v>33</v>
      </c>
      <c r="B38" s="31"/>
      <c r="C38" s="146">
        <f>C36/C37</f>
        <v>3.9537949199469728E-2</v>
      </c>
    </row>
    <row r="39" spans="1:6" ht="30.75" thickBot="1" x14ac:dyDescent="0.3">
      <c r="A39" s="33" t="s">
        <v>23</v>
      </c>
      <c r="B39" s="34"/>
      <c r="C39" s="147">
        <f>ROUNDUP((C38*C63), -3)</f>
        <v>1213000</v>
      </c>
      <c r="F39" s="3"/>
    </row>
    <row r="40" spans="1:6" x14ac:dyDescent="0.25">
      <c r="B40" s="2"/>
    </row>
    <row r="41" spans="1:6" ht="15.75" thickBot="1" x14ac:dyDescent="0.3">
      <c r="B41" s="2"/>
    </row>
    <row r="42" spans="1:6" x14ac:dyDescent="0.25">
      <c r="A42" s="15" t="s">
        <v>13</v>
      </c>
      <c r="B42" s="16" t="s">
        <v>21</v>
      </c>
      <c r="C42" s="22" t="s">
        <v>11</v>
      </c>
      <c r="D42" s="53"/>
    </row>
    <row r="43" spans="1:6" x14ac:dyDescent="0.25">
      <c r="A43" s="17"/>
      <c r="B43" s="18" t="s">
        <v>22</v>
      </c>
      <c r="C43" s="19" t="s">
        <v>12</v>
      </c>
      <c r="D43" s="53"/>
    </row>
    <row r="44" spans="1:6" x14ac:dyDescent="0.25">
      <c r="A44" s="23" t="s">
        <v>0</v>
      </c>
      <c r="B44" s="24">
        <v>3676</v>
      </c>
      <c r="C44" s="25">
        <f>B44</f>
        <v>3676</v>
      </c>
      <c r="D44" s="53"/>
    </row>
    <row r="45" spans="1:6" x14ac:dyDescent="0.25">
      <c r="A45" s="23" t="s">
        <v>1</v>
      </c>
      <c r="B45" s="24">
        <v>0</v>
      </c>
      <c r="C45" s="25">
        <f>B45*0.5</f>
        <v>0</v>
      </c>
      <c r="D45" s="53"/>
    </row>
    <row r="46" spans="1:6" x14ac:dyDescent="0.25">
      <c r="A46" s="23"/>
      <c r="B46" s="24"/>
      <c r="C46" s="25"/>
      <c r="D46" s="53"/>
    </row>
    <row r="47" spans="1:6" x14ac:dyDescent="0.25">
      <c r="A47" s="23" t="s">
        <v>2</v>
      </c>
      <c r="B47" s="24"/>
      <c r="C47" s="107">
        <f>SUM(C44:C45)</f>
        <v>3676</v>
      </c>
      <c r="D47" s="53"/>
    </row>
    <row r="48" spans="1:6" x14ac:dyDescent="0.25">
      <c r="A48" s="23" t="s">
        <v>32</v>
      </c>
      <c r="B48" s="24"/>
      <c r="C48" s="106">
        <v>19259484</v>
      </c>
      <c r="D48" s="53"/>
    </row>
    <row r="49" spans="1:5" x14ac:dyDescent="0.25">
      <c r="A49" s="23" t="s">
        <v>31</v>
      </c>
      <c r="B49" s="24"/>
      <c r="C49" s="149">
        <f>C47/C48</f>
        <v>1.9086700349812071E-4</v>
      </c>
      <c r="D49" s="53"/>
    </row>
    <row r="50" spans="1:5" ht="30.75" thickBot="1" x14ac:dyDescent="0.3">
      <c r="A50" s="27" t="s">
        <v>23</v>
      </c>
      <c r="B50" s="28"/>
      <c r="C50" s="150">
        <f>ROUNDUP((C49*C63), -3)</f>
        <v>6000</v>
      </c>
      <c r="D50" s="53"/>
    </row>
    <row r="52" spans="1:5" ht="15.75" thickBot="1" x14ac:dyDescent="0.3"/>
    <row r="53" spans="1:5" ht="15.75" x14ac:dyDescent="0.25">
      <c r="A53" s="20" t="s">
        <v>24</v>
      </c>
      <c r="C53" s="216" t="s">
        <v>34</v>
      </c>
      <c r="D53" s="218" t="s">
        <v>36</v>
      </c>
    </row>
    <row r="54" spans="1:5" ht="15.75" thickBot="1" x14ac:dyDescent="0.3">
      <c r="A54" s="2" t="s">
        <v>79</v>
      </c>
      <c r="C54" s="217"/>
      <c r="D54" s="219"/>
    </row>
    <row r="55" spans="1:5" x14ac:dyDescent="0.25">
      <c r="A55" s="45" t="s">
        <v>25</v>
      </c>
      <c r="B55" s="57">
        <f>ROUNDUP((D13+C39),-3)</f>
        <v>2740000</v>
      </c>
      <c r="C55" s="59">
        <f>B55/(C62+C63)</f>
        <v>1.8764691717790351E-2</v>
      </c>
      <c r="D55" s="55">
        <f>B55/C64</f>
        <v>5.8498535135833186E-3</v>
      </c>
    </row>
    <row r="56" spans="1:5" ht="15.75" thickBot="1" x14ac:dyDescent="0.3">
      <c r="A56" s="36" t="s">
        <v>26</v>
      </c>
      <c r="B56" s="58">
        <f>ROUNDUP((D23+C50),-3)</f>
        <v>281000</v>
      </c>
      <c r="C56" s="60">
        <f>B56/(C62+C63)</f>
        <v>1.9244081652186455E-3</v>
      </c>
      <c r="D56" s="56">
        <f>B56/C64</f>
        <v>5.9993023259741326E-4</v>
      </c>
    </row>
    <row r="57" spans="1:5" ht="15.75" thickBot="1" x14ac:dyDescent="0.3">
      <c r="A57" s="46" t="s">
        <v>28</v>
      </c>
      <c r="B57" s="47">
        <f>B55/B56</f>
        <v>9.7508896797153017</v>
      </c>
    </row>
    <row r="60" spans="1:5" x14ac:dyDescent="0.25">
      <c r="A60" s="6" t="s">
        <v>14</v>
      </c>
    </row>
    <row r="61" spans="1:5" x14ac:dyDescent="0.25">
      <c r="A61" s="2" t="s">
        <v>15</v>
      </c>
      <c r="C61" s="4">
        <v>21663777033</v>
      </c>
    </row>
    <row r="62" spans="1:5" x14ac:dyDescent="0.25">
      <c r="A62" s="2" t="s">
        <v>16</v>
      </c>
      <c r="C62" s="5">
        <v>115346977</v>
      </c>
    </row>
    <row r="63" spans="1:5" x14ac:dyDescent="0.25">
      <c r="A63" s="2" t="s">
        <v>18</v>
      </c>
      <c r="C63" s="5">
        <v>30671942</v>
      </c>
    </row>
    <row r="64" spans="1:5" x14ac:dyDescent="0.25">
      <c r="A64" s="2" t="s">
        <v>35</v>
      </c>
      <c r="C64" s="5">
        <v>468387797</v>
      </c>
      <c r="E64" s="3"/>
    </row>
    <row r="65" spans="1:3" x14ac:dyDescent="0.25">
      <c r="A65" s="2" t="s">
        <v>17</v>
      </c>
      <c r="C65" s="41">
        <v>19259484</v>
      </c>
    </row>
    <row r="66" spans="1:3" x14ac:dyDescent="0.25">
      <c r="A66" s="2" t="s">
        <v>61</v>
      </c>
      <c r="C66" s="1">
        <v>173216632</v>
      </c>
    </row>
    <row r="67" spans="1:3" x14ac:dyDescent="0.25">
      <c r="A67" s="174" t="s">
        <v>76</v>
      </c>
    </row>
    <row r="68" spans="1:3" x14ac:dyDescent="0.25">
      <c r="A68" s="174" t="s">
        <v>77</v>
      </c>
    </row>
  </sheetData>
  <mergeCells count="2">
    <mergeCell ref="C53:C54"/>
    <mergeCell ref="D53:D54"/>
  </mergeCells>
  <hyperlinks>
    <hyperlink ref="A67" r:id="rId1" xr:uid="{00000000-0004-0000-0300-000000000000}"/>
    <hyperlink ref="A68" r:id="rId2" xr:uid="{00000000-0004-0000-0300-000001000000}"/>
  </hyperlink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4"/>
  <sheetViews>
    <sheetView workbookViewId="0"/>
  </sheetViews>
  <sheetFormatPr defaultRowHeight="15" x14ac:dyDescent="0.25"/>
  <cols>
    <col min="1" max="1" width="28.42578125" style="110" bestFit="1" customWidth="1"/>
    <col min="2" max="2" width="25.7109375" style="111" customWidth="1"/>
    <col min="3" max="3" width="25.7109375" style="110" customWidth="1"/>
    <col min="4" max="4" width="25.7109375" style="112" customWidth="1"/>
    <col min="5" max="5" width="24.85546875" style="110" customWidth="1"/>
    <col min="6" max="6" width="12.5703125" style="110" bestFit="1" customWidth="1"/>
    <col min="7" max="7" width="14.28515625" style="110" bestFit="1" customWidth="1"/>
    <col min="8" max="8" width="9.140625" style="110"/>
    <col min="9" max="9" width="9.140625" style="113"/>
    <col min="10" max="16384" width="9.140625" style="110"/>
  </cols>
  <sheetData>
    <row r="1" spans="1:9" s="61" customFormat="1" x14ac:dyDescent="0.25">
      <c r="A1" s="61" t="s">
        <v>39</v>
      </c>
      <c r="B1" s="62"/>
      <c r="D1" s="53"/>
      <c r="I1" s="148"/>
    </row>
    <row r="2" spans="1:9" s="61" customFormat="1" x14ac:dyDescent="0.25">
      <c r="A2" s="61" t="s">
        <v>7</v>
      </c>
      <c r="B2" s="62"/>
      <c r="D2" s="53"/>
      <c r="I2" s="148"/>
    </row>
    <row r="3" spans="1:9" s="61" customFormat="1" x14ac:dyDescent="0.25">
      <c r="A3" s="61" t="s">
        <v>8</v>
      </c>
      <c r="B3" s="62"/>
      <c r="D3" s="53"/>
      <c r="I3" s="148"/>
    </row>
    <row r="4" spans="1:9" s="61" customFormat="1" x14ac:dyDescent="0.25">
      <c r="B4" s="62"/>
      <c r="D4" s="53"/>
      <c r="I4" s="148"/>
    </row>
    <row r="5" spans="1:9" s="61" customFormat="1" ht="15.75" x14ac:dyDescent="0.25">
      <c r="A5" s="63" t="s">
        <v>19</v>
      </c>
      <c r="B5" s="62"/>
      <c r="D5" s="53"/>
      <c r="I5" s="148"/>
    </row>
    <row r="6" spans="1:9" s="61" customFormat="1" ht="15.75" thickBot="1" x14ac:dyDescent="0.3">
      <c r="B6" s="62"/>
      <c r="D6" s="53"/>
      <c r="I6" s="148"/>
    </row>
    <row r="7" spans="1:9" s="68" customFormat="1" x14ac:dyDescent="0.25">
      <c r="A7" s="64" t="s">
        <v>5</v>
      </c>
      <c r="B7" s="65" t="s">
        <v>9</v>
      </c>
      <c r="C7" s="66" t="s">
        <v>11</v>
      </c>
      <c r="D7" s="67" t="s">
        <v>39</v>
      </c>
      <c r="E7" s="67" t="s">
        <v>40</v>
      </c>
      <c r="I7" s="170"/>
    </row>
    <row r="8" spans="1:9" s="171" customFormat="1" x14ac:dyDescent="0.25">
      <c r="A8" s="69"/>
      <c r="B8" s="70" t="s">
        <v>10</v>
      </c>
      <c r="C8" s="71" t="s">
        <v>12</v>
      </c>
      <c r="D8" s="72" t="s">
        <v>37</v>
      </c>
      <c r="E8" s="72" t="s">
        <v>37</v>
      </c>
      <c r="I8" s="170"/>
    </row>
    <row r="9" spans="1:9" s="61" customFormat="1" x14ac:dyDescent="0.25">
      <c r="A9" s="73" t="s">
        <v>3</v>
      </c>
      <c r="B9" s="74">
        <v>31059755</v>
      </c>
      <c r="C9" s="75">
        <v>0</v>
      </c>
      <c r="D9" s="76">
        <f>B9/100*0.68882</f>
        <v>213945.80439099998</v>
      </c>
      <c r="E9" s="76">
        <f>B9/100*1.62</f>
        <v>503168.03100000002</v>
      </c>
      <c r="I9" s="148"/>
    </row>
    <row r="10" spans="1:9" s="61" customFormat="1" x14ac:dyDescent="0.25">
      <c r="A10" s="73" t="s">
        <v>4</v>
      </c>
      <c r="B10" s="74">
        <v>24119391</v>
      </c>
      <c r="C10" s="75">
        <f>B10/2</f>
        <v>12059695.5</v>
      </c>
      <c r="D10" s="76">
        <f>B10/100*0.68882</f>
        <v>166139.1890862</v>
      </c>
      <c r="E10" s="76">
        <f>B10/100*1.62</f>
        <v>390734.13420000003</v>
      </c>
      <c r="G10" s="172"/>
      <c r="I10" s="148"/>
    </row>
    <row r="11" spans="1:9" s="61" customFormat="1" x14ac:dyDescent="0.25">
      <c r="A11" s="73" t="s">
        <v>2</v>
      </c>
      <c r="B11" s="74"/>
      <c r="C11" s="75"/>
      <c r="D11" s="78">
        <f>SUM(D9:D10)</f>
        <v>380084.99347719998</v>
      </c>
      <c r="E11" s="78">
        <f>SUM(E9:E10)</f>
        <v>893902.16520000005</v>
      </c>
      <c r="I11" s="148"/>
    </row>
    <row r="12" spans="1:9" s="61" customFormat="1" x14ac:dyDescent="0.25">
      <c r="A12" s="73" t="s">
        <v>41</v>
      </c>
      <c r="B12" s="74"/>
      <c r="C12" s="77"/>
      <c r="D12" s="137">
        <f>C58</f>
        <v>2258861</v>
      </c>
      <c r="E12" s="137"/>
      <c r="G12" s="173"/>
      <c r="I12" s="148"/>
    </row>
    <row r="13" spans="1:9" s="61" customFormat="1" x14ac:dyDescent="0.25">
      <c r="A13" s="134" t="s">
        <v>63</v>
      </c>
      <c r="B13" s="140"/>
      <c r="C13" s="141"/>
      <c r="D13" s="138"/>
      <c r="E13" s="138">
        <f>C62</f>
        <v>10802578</v>
      </c>
      <c r="G13" s="173"/>
      <c r="I13" s="148"/>
    </row>
    <row r="14" spans="1:9" s="61" customFormat="1" ht="15.75" thickBot="1" x14ac:dyDescent="0.3">
      <c r="A14" s="79" t="s">
        <v>30</v>
      </c>
      <c r="B14" s="80"/>
      <c r="C14" s="81"/>
      <c r="D14" s="82">
        <f>D11/D12</f>
        <v>0.16826400273288175</v>
      </c>
      <c r="E14" s="82">
        <f>E11/E13</f>
        <v>8.2748966515215169E-2</v>
      </c>
      <c r="I14" s="148"/>
    </row>
    <row r="15" spans="1:9" s="61" customFormat="1" ht="15.75" thickBot="1" x14ac:dyDescent="0.3">
      <c r="B15" s="62"/>
      <c r="D15" s="53"/>
      <c r="E15" s="53"/>
      <c r="I15" s="148"/>
    </row>
    <row r="16" spans="1:9" s="61" customFormat="1" x14ac:dyDescent="0.25">
      <c r="A16" s="83" t="s">
        <v>13</v>
      </c>
      <c r="B16" s="84" t="s">
        <v>9</v>
      </c>
      <c r="C16" s="85" t="s">
        <v>11</v>
      </c>
      <c r="D16" s="86" t="s">
        <v>39</v>
      </c>
      <c r="E16" s="86" t="s">
        <v>40</v>
      </c>
      <c r="I16" s="148"/>
    </row>
    <row r="17" spans="1:9" s="61" customFormat="1" x14ac:dyDescent="0.25">
      <c r="A17" s="87"/>
      <c r="B17" s="88" t="s">
        <v>10</v>
      </c>
      <c r="C17" s="89" t="s">
        <v>12</v>
      </c>
      <c r="D17" s="90" t="s">
        <v>37</v>
      </c>
      <c r="E17" s="90" t="s">
        <v>37</v>
      </c>
      <c r="I17" s="148"/>
    </row>
    <row r="18" spans="1:9" s="61" customFormat="1" x14ac:dyDescent="0.25">
      <c r="A18" s="91" t="s">
        <v>3</v>
      </c>
      <c r="B18" s="92">
        <v>2649108</v>
      </c>
      <c r="C18" s="93"/>
      <c r="D18" s="94">
        <f>B18/100*0.68882</f>
        <v>18247.585725600002</v>
      </c>
      <c r="E18" s="94">
        <f>B18/100*1.62</f>
        <v>42915.549600000006</v>
      </c>
      <c r="I18" s="148"/>
    </row>
    <row r="19" spans="1:9" s="61" customFormat="1" x14ac:dyDescent="0.25">
      <c r="A19" s="91" t="s">
        <v>4</v>
      </c>
      <c r="B19" s="92">
        <v>5738807</v>
      </c>
      <c r="C19" s="93">
        <f>B19/2</f>
        <v>2869403.5</v>
      </c>
      <c r="D19" s="94">
        <f>C19/100*0.68882</f>
        <v>19765.025188700001</v>
      </c>
      <c r="E19" s="94">
        <f>(C19+1359701)/100*1.62</f>
        <v>68511.492899999997</v>
      </c>
      <c r="I19" s="148"/>
    </row>
    <row r="20" spans="1:9" s="61" customFormat="1" x14ac:dyDescent="0.25">
      <c r="A20" s="91" t="s">
        <v>2</v>
      </c>
      <c r="B20" s="92"/>
      <c r="C20" s="93"/>
      <c r="D20" s="97">
        <f>SUM(D18:D19)</f>
        <v>38012.610914300007</v>
      </c>
      <c r="E20" s="97">
        <f>SUM(E18:E19)</f>
        <v>111427.04250000001</v>
      </c>
      <c r="I20" s="148"/>
    </row>
    <row r="21" spans="1:9" s="61" customFormat="1" x14ac:dyDescent="0.25">
      <c r="A21" s="91" t="s">
        <v>41</v>
      </c>
      <c r="B21" s="92"/>
      <c r="C21" s="95"/>
      <c r="D21" s="144">
        <f>C58</f>
        <v>2258861</v>
      </c>
      <c r="E21" s="144"/>
      <c r="I21" s="148"/>
    </row>
    <row r="22" spans="1:9" s="61" customFormat="1" x14ac:dyDescent="0.25">
      <c r="A22" s="139" t="s">
        <v>63</v>
      </c>
      <c r="B22" s="142"/>
      <c r="C22" s="143"/>
      <c r="D22" s="145"/>
      <c r="E22" s="145">
        <f>C62</f>
        <v>10802578</v>
      </c>
      <c r="I22" s="148"/>
    </row>
    <row r="23" spans="1:9" s="61" customFormat="1" ht="15.75" thickBot="1" x14ac:dyDescent="0.3">
      <c r="A23" s="98" t="s">
        <v>31</v>
      </c>
      <c r="B23" s="99"/>
      <c r="C23" s="100"/>
      <c r="D23" s="101">
        <f>D20/D21</f>
        <v>1.6828220467881825E-2</v>
      </c>
      <c r="E23" s="101">
        <f>E20/E22</f>
        <v>1.0314856555537022E-2</v>
      </c>
      <c r="I23" s="148"/>
    </row>
    <row r="24" spans="1:9" s="61" customFormat="1" x14ac:dyDescent="0.25">
      <c r="B24" s="62"/>
      <c r="D24" s="53"/>
      <c r="I24" s="148"/>
    </row>
    <row r="25" spans="1:9" s="61" customFormat="1" x14ac:dyDescent="0.25">
      <c r="B25" s="62"/>
      <c r="D25" s="53"/>
      <c r="I25" s="148"/>
    </row>
    <row r="26" spans="1:9" s="61" customFormat="1" ht="15.75" x14ac:dyDescent="0.25">
      <c r="A26" s="63" t="s">
        <v>20</v>
      </c>
      <c r="B26" s="62"/>
      <c r="D26" s="53"/>
      <c r="I26" s="148"/>
    </row>
    <row r="27" spans="1:9" s="61" customFormat="1" ht="15.75" thickBot="1" x14ac:dyDescent="0.3">
      <c r="B27" s="62"/>
      <c r="D27" s="53"/>
      <c r="I27" s="148"/>
    </row>
    <row r="28" spans="1:9" s="68" customFormat="1" x14ac:dyDescent="0.25">
      <c r="A28" s="160" t="s">
        <v>5</v>
      </c>
      <c r="B28" s="161"/>
      <c r="C28" s="168" t="s">
        <v>21</v>
      </c>
      <c r="D28" s="102"/>
      <c r="I28" s="170"/>
    </row>
    <row r="29" spans="1:9" s="171" customFormat="1" x14ac:dyDescent="0.25">
      <c r="A29" s="162"/>
      <c r="B29" s="163"/>
      <c r="C29" s="169" t="s">
        <v>22</v>
      </c>
      <c r="D29" s="102"/>
      <c r="I29" s="170"/>
    </row>
    <row r="30" spans="1:9" x14ac:dyDescent="0.25">
      <c r="A30" s="164" t="s">
        <v>0</v>
      </c>
      <c r="B30" s="165"/>
      <c r="C30" s="103">
        <v>198993</v>
      </c>
    </row>
    <row r="31" spans="1:9" x14ac:dyDescent="0.25">
      <c r="A31" s="164" t="s">
        <v>1</v>
      </c>
      <c r="B31" s="165"/>
      <c r="C31" s="104">
        <f>B31*0.5</f>
        <v>0</v>
      </c>
    </row>
    <row r="32" spans="1:9" x14ac:dyDescent="0.25">
      <c r="A32" s="164"/>
      <c r="B32" s="165"/>
      <c r="C32" s="104"/>
    </row>
    <row r="33" spans="1:7" x14ac:dyDescent="0.25">
      <c r="A33" s="164" t="s">
        <v>2</v>
      </c>
      <c r="B33" s="165"/>
      <c r="C33" s="105">
        <f>SUM(C30:C31)</f>
        <v>198993</v>
      </c>
      <c r="G33" s="119"/>
    </row>
    <row r="34" spans="1:7" x14ac:dyDescent="0.25">
      <c r="A34" s="164" t="s">
        <v>32</v>
      </c>
      <c r="B34" s="165"/>
      <c r="C34" s="104">
        <f>C61</f>
        <v>8123538</v>
      </c>
    </row>
    <row r="35" spans="1:7" x14ac:dyDescent="0.25">
      <c r="A35" s="164" t="s">
        <v>33</v>
      </c>
      <c r="B35" s="165"/>
      <c r="C35" s="146">
        <f>C33/C34</f>
        <v>2.4495853900111011E-2</v>
      </c>
    </row>
    <row r="36" spans="1:7" ht="30.75" thickBot="1" x14ac:dyDescent="0.3">
      <c r="A36" s="166" t="s">
        <v>23</v>
      </c>
      <c r="B36" s="167"/>
      <c r="C36" s="147">
        <f>ROUNDUP((C35*C59),-3)</f>
        <v>27000</v>
      </c>
    </row>
    <row r="37" spans="1:7" x14ac:dyDescent="0.25">
      <c r="B37" s="110"/>
    </row>
    <row r="38" spans="1:7" ht="15.75" thickBot="1" x14ac:dyDescent="0.3">
      <c r="B38" s="110"/>
    </row>
    <row r="39" spans="1:7" x14ac:dyDescent="0.25">
      <c r="A39" s="175" t="s">
        <v>13</v>
      </c>
      <c r="B39" s="176"/>
      <c r="C39" s="190" t="s">
        <v>21</v>
      </c>
    </row>
    <row r="40" spans="1:7" x14ac:dyDescent="0.25">
      <c r="A40" s="177"/>
      <c r="B40" s="178"/>
      <c r="C40" s="191" t="s">
        <v>22</v>
      </c>
    </row>
    <row r="41" spans="1:7" x14ac:dyDescent="0.25">
      <c r="A41" s="179" t="s">
        <v>0</v>
      </c>
      <c r="B41" s="180"/>
      <c r="C41" s="106">
        <v>35736</v>
      </c>
    </row>
    <row r="42" spans="1:7" x14ac:dyDescent="0.25">
      <c r="A42" s="179"/>
      <c r="B42" s="180"/>
      <c r="C42" s="106"/>
    </row>
    <row r="43" spans="1:7" x14ac:dyDescent="0.25">
      <c r="A43" s="179"/>
      <c r="B43" s="180"/>
      <c r="C43" s="106"/>
    </row>
    <row r="44" spans="1:7" x14ac:dyDescent="0.25">
      <c r="A44" s="179" t="s">
        <v>2</v>
      </c>
      <c r="B44" s="180"/>
      <c r="C44" s="107">
        <f>SUM(C41:C42)</f>
        <v>35736</v>
      </c>
    </row>
    <row r="45" spans="1:7" x14ac:dyDescent="0.25">
      <c r="A45" s="179" t="s">
        <v>32</v>
      </c>
      <c r="B45" s="180"/>
      <c r="C45" s="106">
        <f>C61</f>
        <v>8123538</v>
      </c>
    </row>
    <row r="46" spans="1:7" x14ac:dyDescent="0.25">
      <c r="A46" s="179" t="s">
        <v>31</v>
      </c>
      <c r="B46" s="180"/>
      <c r="C46" s="149">
        <f>C44/C45</f>
        <v>4.3990684846922611E-3</v>
      </c>
    </row>
    <row r="47" spans="1:7" ht="30.75" thickBot="1" x14ac:dyDescent="0.3">
      <c r="A47" s="181" t="s">
        <v>23</v>
      </c>
      <c r="B47" s="182"/>
      <c r="C47" s="150">
        <f>ROUNDUP((C46*C59),-3)</f>
        <v>5000</v>
      </c>
    </row>
    <row r="49" spans="1:9" s="61" customFormat="1" ht="15.75" thickBot="1" x14ac:dyDescent="0.3">
      <c r="B49" s="62"/>
      <c r="D49" s="53"/>
      <c r="I49" s="148"/>
    </row>
    <row r="50" spans="1:9" s="61" customFormat="1" ht="15.75" x14ac:dyDescent="0.25">
      <c r="A50" s="63" t="s">
        <v>24</v>
      </c>
      <c r="B50" s="62"/>
      <c r="C50" s="212" t="s">
        <v>34</v>
      </c>
      <c r="D50" s="214" t="s">
        <v>36</v>
      </c>
      <c r="I50" s="148"/>
    </row>
    <row r="51" spans="1:9" s="61" customFormat="1" ht="15.75" thickBot="1" x14ac:dyDescent="0.3">
      <c r="A51" s="61" t="s">
        <v>79</v>
      </c>
      <c r="B51" s="62"/>
      <c r="C51" s="213"/>
      <c r="D51" s="215"/>
      <c r="F51" s="173"/>
      <c r="I51" s="148"/>
    </row>
    <row r="52" spans="1:9" s="61" customFormat="1" x14ac:dyDescent="0.25">
      <c r="A52" s="151" t="s">
        <v>25</v>
      </c>
      <c r="B52" s="152">
        <f>ROUNDUP((D11+C36),-3)</f>
        <v>408000</v>
      </c>
      <c r="C52" s="153">
        <f>B52/(C58+C59)</f>
        <v>0.12183246781517656</v>
      </c>
      <c r="D52" s="154">
        <f>B52/C60</f>
        <v>5.0249387216112516E-2</v>
      </c>
      <c r="F52" s="173"/>
      <c r="I52" s="148"/>
    </row>
    <row r="53" spans="1:9" s="61" customFormat="1" ht="15.75" thickBot="1" x14ac:dyDescent="0.3">
      <c r="A53" s="98" t="s">
        <v>26</v>
      </c>
      <c r="B53" s="155">
        <f>ROUNDUP((D20+C47),-3)</f>
        <v>44000</v>
      </c>
      <c r="C53" s="156">
        <f>B53/(C58+C59)</f>
        <v>1.3138795548695511E-2</v>
      </c>
      <c r="D53" s="157">
        <f>B53/C60</f>
        <v>5.4190515625219381E-3</v>
      </c>
      <c r="I53" s="148"/>
    </row>
    <row r="54" spans="1:9" s="61" customFormat="1" ht="15.75" thickBot="1" x14ac:dyDescent="0.3">
      <c r="A54" s="158" t="s">
        <v>28</v>
      </c>
      <c r="B54" s="159">
        <f>B52/B53</f>
        <v>9.2727272727272734</v>
      </c>
      <c r="D54" s="53"/>
      <c r="I54" s="148"/>
    </row>
    <row r="55" spans="1:9" s="61" customFormat="1" x14ac:dyDescent="0.25">
      <c r="B55" s="62"/>
      <c r="D55" s="53"/>
      <c r="I55" s="148"/>
    </row>
    <row r="57" spans="1:9" x14ac:dyDescent="0.25">
      <c r="A57" s="68" t="s">
        <v>14</v>
      </c>
    </row>
    <row r="58" spans="1:9" x14ac:dyDescent="0.25">
      <c r="A58" s="61" t="s">
        <v>57</v>
      </c>
      <c r="B58" s="62"/>
      <c r="C58" s="108">
        <v>2258861</v>
      </c>
    </row>
    <row r="59" spans="1:9" x14ac:dyDescent="0.25">
      <c r="A59" s="61" t="s">
        <v>58</v>
      </c>
      <c r="B59" s="62"/>
      <c r="C59" s="108">
        <v>1090000</v>
      </c>
    </row>
    <row r="60" spans="1:9" x14ac:dyDescent="0.25">
      <c r="A60" s="61" t="s">
        <v>72</v>
      </c>
      <c r="C60" s="1">
        <v>8119502</v>
      </c>
      <c r="E60" s="119"/>
    </row>
    <row r="61" spans="1:9" x14ac:dyDescent="0.25">
      <c r="A61" s="61" t="s">
        <v>59</v>
      </c>
      <c r="C61" s="108">
        <v>8123538</v>
      </c>
    </row>
    <row r="62" spans="1:9" x14ac:dyDescent="0.25">
      <c r="A62" s="61" t="s">
        <v>70</v>
      </c>
      <c r="C62" s="1">
        <v>10802578</v>
      </c>
    </row>
    <row r="63" spans="1:9" x14ac:dyDescent="0.25">
      <c r="A63" s="174" t="s">
        <v>69</v>
      </c>
    </row>
    <row r="64" spans="1:9" x14ac:dyDescent="0.25">
      <c r="A64" s="174" t="s">
        <v>71</v>
      </c>
    </row>
  </sheetData>
  <mergeCells count="2">
    <mergeCell ref="C50:C51"/>
    <mergeCell ref="D50:D51"/>
  </mergeCells>
  <hyperlinks>
    <hyperlink ref="A63" r:id="rId1" xr:uid="{00000000-0004-0000-0400-000000000000}"/>
    <hyperlink ref="A64" r:id="rId2" display="https://www.princetonisd.net/cms/lib/TX01001410/Centricity/Domain/3/Budget 17-18 Web Page.pdf" xr:uid="{00000000-0004-0000-0400-000001000000}"/>
  </hyperlinks>
  <pageMargins left="0.7" right="0.7" top="0.75" bottom="0.75" header="0.3" footer="0.3"/>
  <pageSetup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3"/>
  <sheetViews>
    <sheetView workbookViewId="0"/>
  </sheetViews>
  <sheetFormatPr defaultRowHeight="15" x14ac:dyDescent="0.25"/>
  <cols>
    <col min="1" max="1" width="28.42578125" style="110" bestFit="1" customWidth="1"/>
    <col min="2" max="2" width="25.7109375" style="111" customWidth="1"/>
    <col min="3" max="3" width="25.7109375" style="110" customWidth="1"/>
    <col min="4" max="4" width="25.7109375" style="112" customWidth="1"/>
    <col min="5" max="5" width="24.85546875" style="110" customWidth="1"/>
    <col min="6" max="6" width="9.140625" style="110"/>
    <col min="7" max="7" width="14.28515625" style="110" bestFit="1" customWidth="1"/>
    <col min="8" max="8" width="9.140625" style="110"/>
    <col min="9" max="9" width="9.140625" style="113"/>
    <col min="10" max="10" width="10" style="110" bestFit="1" customWidth="1"/>
    <col min="11" max="11" width="14.28515625" style="110" bestFit="1" customWidth="1"/>
    <col min="12" max="16384" width="9.140625" style="110"/>
  </cols>
  <sheetData>
    <row r="1" spans="1:11" x14ac:dyDescent="0.25">
      <c r="A1" s="61" t="s">
        <v>42</v>
      </c>
      <c r="B1" s="62"/>
      <c r="C1" s="61"/>
      <c r="D1" s="53"/>
      <c r="E1" s="61"/>
    </row>
    <row r="2" spans="1:11" x14ac:dyDescent="0.25">
      <c r="A2" s="61" t="s">
        <v>7</v>
      </c>
      <c r="B2" s="62"/>
      <c r="C2" s="61"/>
      <c r="D2" s="53"/>
      <c r="E2" s="61"/>
    </row>
    <row r="3" spans="1:11" x14ac:dyDescent="0.25">
      <c r="A3" s="61" t="s">
        <v>8</v>
      </c>
      <c r="B3" s="62"/>
      <c r="C3" s="61"/>
      <c r="D3" s="53"/>
      <c r="E3" s="61"/>
    </row>
    <row r="4" spans="1:11" x14ac:dyDescent="0.25">
      <c r="A4" s="61"/>
      <c r="B4" s="62"/>
      <c r="C4" s="61"/>
      <c r="D4" s="53"/>
      <c r="E4" s="61"/>
    </row>
    <row r="5" spans="1:11" ht="15.75" x14ac:dyDescent="0.25">
      <c r="A5" s="63" t="s">
        <v>19</v>
      </c>
      <c r="B5" s="62"/>
      <c r="C5" s="61"/>
      <c r="D5" s="53"/>
      <c r="E5" s="61"/>
    </row>
    <row r="6" spans="1:11" ht="15.75" thickBot="1" x14ac:dyDescent="0.3">
      <c r="A6" s="61"/>
      <c r="B6" s="62"/>
      <c r="C6" s="61"/>
      <c r="D6" s="53"/>
      <c r="E6" s="61"/>
    </row>
    <row r="7" spans="1:11" s="114" customFormat="1" x14ac:dyDescent="0.25">
      <c r="A7" s="64" t="s">
        <v>5</v>
      </c>
      <c r="B7" s="65" t="s">
        <v>9</v>
      </c>
      <c r="C7" s="66" t="s">
        <v>11</v>
      </c>
      <c r="D7" s="67" t="s">
        <v>42</v>
      </c>
      <c r="E7" s="67" t="s">
        <v>48</v>
      </c>
      <c r="I7" s="115"/>
    </row>
    <row r="8" spans="1:11" s="116" customFormat="1" x14ac:dyDescent="0.25">
      <c r="A8" s="69"/>
      <c r="B8" s="70" t="s">
        <v>10</v>
      </c>
      <c r="C8" s="71" t="s">
        <v>12</v>
      </c>
      <c r="D8" s="72" t="s">
        <v>37</v>
      </c>
      <c r="E8" s="72" t="s">
        <v>37</v>
      </c>
      <c r="I8" s="115"/>
    </row>
    <row r="9" spans="1:11" x14ac:dyDescent="0.25">
      <c r="A9" s="73" t="s">
        <v>3</v>
      </c>
      <c r="B9" s="74">
        <v>2464793</v>
      </c>
      <c r="C9" s="75">
        <v>0</v>
      </c>
      <c r="D9" s="76">
        <f>B9/100*0.75</f>
        <v>18485.947500000002</v>
      </c>
      <c r="E9" s="76">
        <f>B9/100*1.32</f>
        <v>32535.267600000003</v>
      </c>
    </row>
    <row r="10" spans="1:11" x14ac:dyDescent="0.25">
      <c r="A10" s="73" t="s">
        <v>4</v>
      </c>
      <c r="B10" s="74">
        <v>16184464</v>
      </c>
      <c r="C10" s="74">
        <f>B10*0.5</f>
        <v>8092232</v>
      </c>
      <c r="D10" s="76">
        <f>C10/100*0.75</f>
        <v>60691.740000000005</v>
      </c>
      <c r="E10" s="137">
        <f>C10/100*1.32</f>
        <v>106817.46240000002</v>
      </c>
    </row>
    <row r="11" spans="1:11" x14ac:dyDescent="0.25">
      <c r="A11" s="73" t="s">
        <v>2</v>
      </c>
      <c r="B11" s="74"/>
      <c r="C11" s="75"/>
      <c r="D11" s="78">
        <f>SUM(D9:D10)</f>
        <v>79177.6875</v>
      </c>
      <c r="E11" s="78">
        <f>SUM(E9:E10)</f>
        <v>139352.73000000001</v>
      </c>
    </row>
    <row r="12" spans="1:11" x14ac:dyDescent="0.25">
      <c r="A12" s="73" t="s">
        <v>43</v>
      </c>
      <c r="B12" s="74"/>
      <c r="C12" s="77"/>
      <c r="D12" s="137">
        <f>C56</f>
        <v>838288</v>
      </c>
      <c r="E12" s="137"/>
      <c r="G12" s="119"/>
    </row>
    <row r="13" spans="1:11" x14ac:dyDescent="0.25">
      <c r="A13" s="73" t="s">
        <v>64</v>
      </c>
      <c r="B13" s="140"/>
      <c r="C13" s="141"/>
      <c r="D13" s="138"/>
      <c r="E13" s="138">
        <f>C60</f>
        <v>6924930</v>
      </c>
      <c r="G13" s="119"/>
    </row>
    <row r="14" spans="1:11" ht="15.75" thickBot="1" x14ac:dyDescent="0.3">
      <c r="A14" s="79" t="s">
        <v>30</v>
      </c>
      <c r="B14" s="80"/>
      <c r="C14" s="81"/>
      <c r="D14" s="82">
        <f>D11/D12</f>
        <v>9.4451653250434212E-2</v>
      </c>
      <c r="E14" s="82">
        <f>E11/E13</f>
        <v>2.0123341318973621E-2</v>
      </c>
    </row>
    <row r="15" spans="1:11" ht="15.75" thickBot="1" x14ac:dyDescent="0.3">
      <c r="E15" s="112"/>
      <c r="K15" s="111"/>
    </row>
    <row r="16" spans="1:11" x14ac:dyDescent="0.25">
      <c r="A16" s="83" t="s">
        <v>13</v>
      </c>
      <c r="B16" s="84" t="s">
        <v>9</v>
      </c>
      <c r="C16" s="85" t="s">
        <v>11</v>
      </c>
      <c r="D16" s="86" t="s">
        <v>42</v>
      </c>
      <c r="E16" s="86" t="s">
        <v>48</v>
      </c>
    </row>
    <row r="17" spans="1:9" x14ac:dyDescent="0.25">
      <c r="A17" s="87"/>
      <c r="B17" s="88" t="s">
        <v>10</v>
      </c>
      <c r="C17" s="89" t="s">
        <v>12</v>
      </c>
      <c r="D17" s="90" t="s">
        <v>37</v>
      </c>
      <c r="E17" s="90" t="s">
        <v>37</v>
      </c>
    </row>
    <row r="18" spans="1:9" x14ac:dyDescent="0.25">
      <c r="A18" s="91" t="s">
        <v>3</v>
      </c>
      <c r="B18" s="92">
        <v>0</v>
      </c>
      <c r="C18" s="93">
        <f>B18*1</f>
        <v>0</v>
      </c>
      <c r="D18" s="94">
        <f>C18/100*0.68882</f>
        <v>0</v>
      </c>
      <c r="E18" s="94">
        <f>C18/100*1.62</f>
        <v>0</v>
      </c>
    </row>
    <row r="19" spans="1:9" x14ac:dyDescent="0.25">
      <c r="A19" s="91" t="s">
        <v>4</v>
      </c>
      <c r="B19" s="92">
        <v>1069023</v>
      </c>
      <c r="C19" s="92">
        <f>B19/2</f>
        <v>534511.5</v>
      </c>
      <c r="D19" s="144">
        <f>C19/100*0.75</f>
        <v>4008.8362499999998</v>
      </c>
      <c r="E19" s="144">
        <v>0</v>
      </c>
    </row>
    <row r="20" spans="1:9" x14ac:dyDescent="0.25">
      <c r="A20" s="91" t="s">
        <v>2</v>
      </c>
      <c r="B20" s="92"/>
      <c r="C20" s="93"/>
      <c r="D20" s="97">
        <f>SUM(D18:D19)</f>
        <v>4008.8362499999998</v>
      </c>
      <c r="E20" s="97">
        <v>0</v>
      </c>
    </row>
    <row r="21" spans="1:9" x14ac:dyDescent="0.25">
      <c r="A21" s="91" t="s">
        <v>43</v>
      </c>
      <c r="B21" s="92"/>
      <c r="C21" s="95"/>
      <c r="D21" s="144">
        <f>C56</f>
        <v>838288</v>
      </c>
      <c r="E21" s="144"/>
    </row>
    <row r="22" spans="1:9" x14ac:dyDescent="0.25">
      <c r="A22" s="139" t="s">
        <v>64</v>
      </c>
      <c r="B22" s="142"/>
      <c r="C22" s="143"/>
      <c r="D22" s="145"/>
      <c r="E22" s="145">
        <f>C60</f>
        <v>6924930</v>
      </c>
    </row>
    <row r="23" spans="1:9" ht="15.75" thickBot="1" x14ac:dyDescent="0.3">
      <c r="A23" s="98" t="s">
        <v>31</v>
      </c>
      <c r="B23" s="99"/>
      <c r="C23" s="100"/>
      <c r="D23" s="101">
        <f>D20/D21</f>
        <v>4.7821706263241268E-3</v>
      </c>
      <c r="E23" s="101">
        <f>E20/E22</f>
        <v>0</v>
      </c>
    </row>
    <row r="24" spans="1:9" x14ac:dyDescent="0.25">
      <c r="A24" s="61"/>
      <c r="B24" s="62"/>
      <c r="C24" s="61"/>
      <c r="D24" s="53"/>
      <c r="E24" s="61"/>
    </row>
    <row r="25" spans="1:9" x14ac:dyDescent="0.25">
      <c r="A25" s="61"/>
      <c r="B25" s="62"/>
      <c r="C25" s="61"/>
      <c r="D25" s="53"/>
      <c r="E25" s="61"/>
    </row>
    <row r="26" spans="1:9" ht="15.75" x14ac:dyDescent="0.25">
      <c r="A26" s="63" t="s">
        <v>20</v>
      </c>
      <c r="B26" s="62"/>
      <c r="C26" s="61"/>
      <c r="D26" s="53"/>
    </row>
    <row r="27" spans="1:9" ht="15.75" thickBot="1" x14ac:dyDescent="0.3">
      <c r="A27" s="61"/>
      <c r="B27" s="62"/>
      <c r="C27" s="61"/>
      <c r="D27" s="53"/>
      <c r="G27" s="119"/>
    </row>
    <row r="28" spans="1:9" s="114" customFormat="1" x14ac:dyDescent="0.25">
      <c r="A28" s="160" t="s">
        <v>5</v>
      </c>
      <c r="B28" s="161"/>
      <c r="C28" s="183" t="s">
        <v>21</v>
      </c>
      <c r="D28" s="102"/>
      <c r="I28" s="115"/>
    </row>
    <row r="29" spans="1:9" s="116" customFormat="1" x14ac:dyDescent="0.25">
      <c r="A29" s="162"/>
      <c r="B29" s="163"/>
      <c r="C29" s="184" t="s">
        <v>22</v>
      </c>
      <c r="D29" s="102"/>
      <c r="I29" s="115"/>
    </row>
    <row r="30" spans="1:9" x14ac:dyDescent="0.25">
      <c r="A30" s="164" t="s">
        <v>0</v>
      </c>
      <c r="B30" s="165"/>
      <c r="C30" s="104">
        <v>20401</v>
      </c>
      <c r="D30" s="53"/>
    </row>
    <row r="31" spans="1:9" s="112" customFormat="1" x14ac:dyDescent="0.25">
      <c r="A31" s="164" t="s">
        <v>1</v>
      </c>
      <c r="B31" s="165"/>
      <c r="C31" s="104">
        <v>0</v>
      </c>
      <c r="D31" s="53"/>
      <c r="E31" s="110"/>
      <c r="F31" s="110"/>
      <c r="G31" s="110"/>
      <c r="H31" s="110"/>
      <c r="I31" s="113"/>
    </row>
    <row r="32" spans="1:9" s="112" customFormat="1" x14ac:dyDescent="0.25">
      <c r="A32" s="164" t="s">
        <v>2</v>
      </c>
      <c r="B32" s="165"/>
      <c r="C32" s="105">
        <f>SUM(C30:C30)</f>
        <v>20401</v>
      </c>
      <c r="D32" s="53"/>
      <c r="E32" s="110"/>
      <c r="F32" s="110"/>
      <c r="G32" s="110"/>
      <c r="H32" s="110"/>
      <c r="I32" s="113"/>
    </row>
    <row r="33" spans="1:9" s="112" customFormat="1" x14ac:dyDescent="0.25">
      <c r="A33" s="164" t="s">
        <v>32</v>
      </c>
      <c r="B33" s="165"/>
      <c r="C33" s="104">
        <f>C59</f>
        <v>1142322</v>
      </c>
      <c r="E33" s="110"/>
      <c r="F33" s="110"/>
      <c r="G33" s="110"/>
      <c r="H33" s="110"/>
      <c r="I33" s="113"/>
    </row>
    <row r="34" spans="1:9" s="112" customFormat="1" x14ac:dyDescent="0.25">
      <c r="A34" s="164" t="s">
        <v>33</v>
      </c>
      <c r="B34" s="165"/>
      <c r="C34" s="146">
        <f>C32/C33</f>
        <v>1.7859237588000582E-2</v>
      </c>
      <c r="E34" s="110"/>
      <c r="F34" s="110"/>
      <c r="G34" s="110"/>
      <c r="H34" s="110"/>
      <c r="I34" s="113"/>
    </row>
    <row r="35" spans="1:9" s="112" customFormat="1" ht="30.75" thickBot="1" x14ac:dyDescent="0.3">
      <c r="A35" s="166" t="s">
        <v>23</v>
      </c>
      <c r="B35" s="167"/>
      <c r="C35" s="147">
        <f>ROUNDUP((C34*C57),-3)</f>
        <v>9000</v>
      </c>
      <c r="E35" s="110"/>
      <c r="F35" s="110"/>
      <c r="G35" s="110"/>
      <c r="H35" s="110"/>
      <c r="I35" s="113"/>
    </row>
    <row r="36" spans="1:9" s="112" customFormat="1" x14ac:dyDescent="0.25">
      <c r="A36" s="110"/>
      <c r="B36" s="110"/>
      <c r="C36" s="110"/>
      <c r="E36" s="110"/>
      <c r="F36" s="110"/>
      <c r="G36" s="110"/>
      <c r="H36" s="110"/>
      <c r="I36" s="113"/>
    </row>
    <row r="37" spans="1:9" s="53" customFormat="1" ht="15.75" thickBot="1" x14ac:dyDescent="0.3">
      <c r="A37" s="61"/>
      <c r="B37" s="61"/>
      <c r="C37" s="61"/>
      <c r="E37" s="61"/>
      <c r="F37" s="61"/>
      <c r="G37" s="61"/>
      <c r="H37" s="61"/>
      <c r="I37" s="148"/>
    </row>
    <row r="38" spans="1:9" s="53" customFormat="1" x14ac:dyDescent="0.25">
      <c r="A38" s="175" t="s">
        <v>13</v>
      </c>
      <c r="B38" s="176"/>
      <c r="C38" s="185" t="s">
        <v>21</v>
      </c>
      <c r="E38" s="61"/>
      <c r="F38" s="61"/>
      <c r="G38" s="61"/>
      <c r="H38" s="61"/>
      <c r="I38" s="148"/>
    </row>
    <row r="39" spans="1:9" s="53" customFormat="1" x14ac:dyDescent="0.25">
      <c r="A39" s="177"/>
      <c r="B39" s="178"/>
      <c r="C39" s="186" t="s">
        <v>22</v>
      </c>
      <c r="E39" s="61"/>
      <c r="F39" s="61"/>
      <c r="G39" s="61"/>
      <c r="H39" s="61"/>
      <c r="I39" s="148"/>
    </row>
    <row r="40" spans="1:9" s="53" customFormat="1" x14ac:dyDescent="0.25">
      <c r="A40" s="179" t="s">
        <v>0</v>
      </c>
      <c r="B40" s="180"/>
      <c r="C40" s="106">
        <v>0</v>
      </c>
      <c r="E40" s="61"/>
      <c r="F40" s="61"/>
      <c r="G40" s="61"/>
      <c r="H40" s="61"/>
      <c r="I40" s="148"/>
    </row>
    <row r="41" spans="1:9" s="53" customFormat="1" x14ac:dyDescent="0.25">
      <c r="A41" s="179" t="s">
        <v>1</v>
      </c>
      <c r="B41" s="180"/>
      <c r="C41" s="106">
        <v>0</v>
      </c>
      <c r="E41" s="61"/>
      <c r="F41" s="61"/>
      <c r="G41" s="61"/>
      <c r="H41" s="61"/>
      <c r="I41" s="148"/>
    </row>
    <row r="42" spans="1:9" s="53" customFormat="1" x14ac:dyDescent="0.25">
      <c r="A42" s="179" t="s">
        <v>2</v>
      </c>
      <c r="B42" s="180"/>
      <c r="C42" s="107">
        <f>SUM(C40:C40)</f>
        <v>0</v>
      </c>
      <c r="E42" s="61"/>
      <c r="F42" s="61"/>
      <c r="G42" s="61"/>
      <c r="H42" s="61"/>
      <c r="I42" s="148"/>
    </row>
    <row r="43" spans="1:9" s="53" customFormat="1" x14ac:dyDescent="0.25">
      <c r="A43" s="179" t="s">
        <v>32</v>
      </c>
      <c r="B43" s="180"/>
      <c r="C43" s="106">
        <f>C59</f>
        <v>1142322</v>
      </c>
      <c r="E43" s="61"/>
      <c r="F43" s="61"/>
      <c r="G43" s="61"/>
      <c r="H43" s="61"/>
      <c r="I43" s="148"/>
    </row>
    <row r="44" spans="1:9" s="53" customFormat="1" x14ac:dyDescent="0.25">
      <c r="A44" s="179" t="s">
        <v>31</v>
      </c>
      <c r="B44" s="180"/>
      <c r="C44" s="149">
        <f>C42/C43</f>
        <v>0</v>
      </c>
      <c r="E44" s="61"/>
      <c r="F44" s="61"/>
      <c r="G44" s="61"/>
      <c r="H44" s="61"/>
      <c r="I44" s="148"/>
    </row>
    <row r="45" spans="1:9" s="53" customFormat="1" ht="30.75" thickBot="1" x14ac:dyDescent="0.3">
      <c r="A45" s="181" t="s">
        <v>23</v>
      </c>
      <c r="B45" s="182"/>
      <c r="C45" s="150">
        <f>C44*C57</f>
        <v>0</v>
      </c>
      <c r="E45" s="61"/>
      <c r="F45" s="61"/>
      <c r="G45" s="61"/>
      <c r="H45" s="61"/>
      <c r="I45" s="148"/>
    </row>
    <row r="46" spans="1:9" s="61" customFormat="1" x14ac:dyDescent="0.25">
      <c r="B46" s="62"/>
      <c r="D46" s="53"/>
      <c r="I46" s="148"/>
    </row>
    <row r="47" spans="1:9" s="61" customFormat="1" ht="15.75" thickBot="1" x14ac:dyDescent="0.3">
      <c r="B47" s="62"/>
      <c r="D47" s="53"/>
      <c r="I47" s="148"/>
    </row>
    <row r="48" spans="1:9" s="61" customFormat="1" ht="15.75" x14ac:dyDescent="0.25">
      <c r="A48" s="63" t="s">
        <v>24</v>
      </c>
      <c r="B48" s="62"/>
      <c r="C48" s="212" t="s">
        <v>34</v>
      </c>
      <c r="D48" s="214" t="s">
        <v>36</v>
      </c>
      <c r="I48" s="148"/>
    </row>
    <row r="49" spans="1:9" s="61" customFormat="1" ht="15.75" thickBot="1" x14ac:dyDescent="0.3">
      <c r="A49" s="61" t="s">
        <v>79</v>
      </c>
      <c r="B49" s="62"/>
      <c r="C49" s="213"/>
      <c r="D49" s="215"/>
      <c r="I49" s="148"/>
    </row>
    <row r="50" spans="1:9" s="61" customFormat="1" x14ac:dyDescent="0.25">
      <c r="A50" s="151" t="s">
        <v>25</v>
      </c>
      <c r="B50" s="152">
        <f>ROUNDUP((D11+C35), -3)</f>
        <v>89000</v>
      </c>
      <c r="C50" s="153">
        <f>B50/(C56+C57)</f>
        <v>6.8436111813841474E-2</v>
      </c>
      <c r="D50" s="154">
        <f>B50/C58</f>
        <v>2.5617526302579251E-2</v>
      </c>
      <c r="I50" s="148"/>
    </row>
    <row r="51" spans="1:9" s="61" customFormat="1" ht="15.75" thickBot="1" x14ac:dyDescent="0.3">
      <c r="A51" s="98" t="s">
        <v>26</v>
      </c>
      <c r="B51" s="155">
        <f>D20+C45</f>
        <v>4008.8362499999998</v>
      </c>
      <c r="C51" s="156">
        <f>B51/(C56+C57)</f>
        <v>3.0825748971728194E-3</v>
      </c>
      <c r="D51" s="157">
        <f>B51/C58</f>
        <v>1.1538928997427884E-3</v>
      </c>
      <c r="I51" s="148"/>
    </row>
    <row r="52" spans="1:9" s="61" customFormat="1" ht="15.75" thickBot="1" x14ac:dyDescent="0.3">
      <c r="A52" s="158" t="s">
        <v>28</v>
      </c>
      <c r="B52" s="159" t="s">
        <v>67</v>
      </c>
      <c r="D52" s="53"/>
      <c r="I52" s="148"/>
    </row>
    <row r="53" spans="1:9" s="61" customFormat="1" x14ac:dyDescent="0.25">
      <c r="B53" s="62"/>
      <c r="D53" s="53"/>
      <c r="I53" s="148"/>
    </row>
    <row r="54" spans="1:9" s="61" customFormat="1" x14ac:dyDescent="0.25">
      <c r="B54" s="62"/>
      <c r="D54" s="53"/>
      <c r="I54" s="148"/>
    </row>
    <row r="55" spans="1:9" s="61" customFormat="1" x14ac:dyDescent="0.25">
      <c r="A55" s="68" t="s">
        <v>14</v>
      </c>
      <c r="B55" s="62"/>
      <c r="D55" s="53"/>
      <c r="I55" s="148"/>
    </row>
    <row r="56" spans="1:9" s="61" customFormat="1" x14ac:dyDescent="0.25">
      <c r="A56" s="61" t="s">
        <v>44</v>
      </c>
      <c r="B56" s="62"/>
      <c r="C56" s="108">
        <v>838288</v>
      </c>
      <c r="D56" s="53"/>
      <c r="I56" s="148"/>
    </row>
    <row r="57" spans="1:9" s="61" customFormat="1" x14ac:dyDescent="0.25">
      <c r="A57" s="61" t="s">
        <v>45</v>
      </c>
      <c r="B57" s="62"/>
      <c r="C57" s="108">
        <v>462195</v>
      </c>
      <c r="D57" s="53"/>
      <c r="I57" s="148"/>
    </row>
    <row r="58" spans="1:9" s="61" customFormat="1" x14ac:dyDescent="0.25">
      <c r="A58" s="61" t="s">
        <v>46</v>
      </c>
      <c r="B58" s="62"/>
      <c r="C58" s="108">
        <v>3474184</v>
      </c>
      <c r="D58" s="53"/>
      <c r="E58" s="173"/>
      <c r="I58" s="148"/>
    </row>
    <row r="59" spans="1:9" s="61" customFormat="1" x14ac:dyDescent="0.25">
      <c r="A59" s="61" t="s">
        <v>47</v>
      </c>
      <c r="B59" s="62"/>
      <c r="C59" s="109">
        <v>1142322</v>
      </c>
      <c r="D59" s="53"/>
      <c r="I59" s="148"/>
    </row>
    <row r="60" spans="1:9" s="61" customFormat="1" x14ac:dyDescent="0.25">
      <c r="A60" s="61" t="s">
        <v>62</v>
      </c>
      <c r="B60" s="62"/>
      <c r="C60" s="108">
        <v>6924930</v>
      </c>
      <c r="D60" s="53"/>
      <c r="I60" s="148"/>
    </row>
    <row r="61" spans="1:9" x14ac:dyDescent="0.25">
      <c r="C61" s="61"/>
    </row>
    <row r="62" spans="1:9" x14ac:dyDescent="0.25">
      <c r="A62" s="174" t="s">
        <v>68</v>
      </c>
    </row>
    <row r="63" spans="1:9" x14ac:dyDescent="0.25">
      <c r="A63" s="174" t="s">
        <v>75</v>
      </c>
    </row>
  </sheetData>
  <mergeCells count="2">
    <mergeCell ref="C48:C49"/>
    <mergeCell ref="D48:D49"/>
  </mergeCells>
  <hyperlinks>
    <hyperlink ref="A62" r:id="rId1" display="http://www.farmersvilletx.com/government/financial_transparency/city_budgets/docs/Budget Workshop 8-28-2018 For Website.pdf" xr:uid="{00000000-0004-0000-0500-000000000000}"/>
    <hyperlink ref="A63" r:id="rId2" xr:uid="{00000000-0004-0000-05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Summary</vt:lpstr>
      <vt:lpstr>Frisco Tax Impacts</vt:lpstr>
      <vt:lpstr>Prosper Tax Impacts</vt:lpstr>
      <vt:lpstr>McKinney Tax Impacts</vt:lpstr>
      <vt:lpstr>Princeton Tax Impacts</vt:lpstr>
      <vt:lpstr>Farmersville Tax Impacts</vt:lpstr>
      <vt:lpstr>Summary!Print_Area</vt:lpstr>
    </vt:vector>
  </TitlesOfParts>
  <Company>Cambridge Systematics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McKeown</dc:creator>
  <cp:lastModifiedBy>Kimmey, Tony</cp:lastModifiedBy>
  <cp:lastPrinted>2019-05-01T15:53:16Z</cp:lastPrinted>
  <dcterms:created xsi:type="dcterms:W3CDTF">2019-03-12T20:21:24Z</dcterms:created>
  <dcterms:modified xsi:type="dcterms:W3CDTF">2019-05-01T17:03:10Z</dcterms:modified>
</cp:coreProperties>
</file>