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dalsrv\Data\Projects\TRN\TxDOT\Statewide Planning\US 380 Feasibility\TxDOT Data Dump (2019.08.02)\Documents\McKinney Charette\"/>
    </mc:Choice>
  </mc:AlternateContent>
  <xr:revisionPtr revIDLastSave="0" documentId="8_{F2B07E2F-D2B9-4F46-9F5D-789E70E50160}" xr6:coauthVersionLast="43" xr6:coauthVersionMax="43" xr10:uidLastSave="{00000000-0000-0000-0000-000000000000}"/>
  <bookViews>
    <workbookView xWindow="-120" yWindow="-120" windowWidth="29040" windowHeight="15840" activeTab="1" xr2:uid="{222D3B1D-C4FB-4FD1-8E7F-4BCBAE9F6BBB}"/>
  </bookViews>
  <sheets>
    <sheet name="PM2 Red vs. Green B ext." sheetId="11" r:id="rId1"/>
    <sheet name="Summary" sheetId="10" r:id="rId2"/>
    <sheet name="Qualitative Matrix - Draft Alts" sheetId="2" state="hidden" r:id="rId3"/>
    <sheet name="Quantity Impacts" sheetId="5" state="hidden" r:id="rId4"/>
    <sheet name="Proposed Rating Legend" sheetId="4" state="hidden" r:id="rId5"/>
    <sheet name="Tech WorkshopQualitative Matrix" sheetId="3" state="hidden" r:id="rId6"/>
    <sheet name="2nd PM - Quantativ - Final Alts" sheetId="1"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4" i="11" l="1"/>
  <c r="E25" i="11"/>
  <c r="F24" i="11"/>
  <c r="D25" i="11"/>
  <c r="F25" i="11"/>
  <c r="D24" i="11" l="1"/>
  <c r="H24" i="10" l="1"/>
  <c r="G24" i="10"/>
  <c r="F24" i="10"/>
  <c r="E24" i="10"/>
  <c r="D24" i="10"/>
  <c r="I24" i="10"/>
  <c r="I23" i="10"/>
  <c r="H23" i="10"/>
  <c r="G23" i="10"/>
  <c r="D23" i="10"/>
  <c r="E40" i="5" l="1"/>
  <c r="E41" i="5"/>
  <c r="E42" i="5"/>
  <c r="E43" i="5"/>
  <c r="E44" i="5" l="1"/>
  <c r="U36" i="5"/>
  <c r="T33" i="5"/>
  <c r="U33" i="5" l="1"/>
  <c r="T36" i="5"/>
  <c r="U34" i="5" s="1"/>
  <c r="T34" i="5"/>
  <c r="T35" i="5"/>
  <c r="H24" i="2"/>
  <c r="J24" i="2"/>
  <c r="L24" i="2"/>
  <c r="N24" i="2"/>
  <c r="P24" i="2"/>
  <c r="U35" i="5" l="1"/>
  <c r="P55" i="5" s="1"/>
  <c r="K9" i="2" s="1"/>
  <c r="U29" i="5"/>
  <c r="P35" i="5" l="1"/>
  <c r="Q9" i="2" s="1"/>
  <c r="P25" i="5"/>
  <c r="O9" i="2" s="1"/>
  <c r="P15" i="5"/>
  <c r="M9" i="2" s="1"/>
  <c r="P45" i="5"/>
  <c r="I9" i="2" s="1"/>
  <c r="Q13" i="2"/>
  <c r="Q11" i="2"/>
  <c r="O13" i="2"/>
  <c r="O11" i="2"/>
  <c r="M13" i="2"/>
  <c r="M11" i="2"/>
  <c r="K13" i="2"/>
  <c r="K11" i="2"/>
  <c r="I13" i="2"/>
  <c r="I11" i="2"/>
  <c r="G15" i="2"/>
  <c r="G14" i="2"/>
  <c r="G12" i="2"/>
  <c r="G10" i="2"/>
  <c r="G24" i="2" l="1"/>
  <c r="G25" i="2" s="1"/>
  <c r="G26" i="2" s="1"/>
  <c r="G27" i="2" s="1"/>
  <c r="R24" i="2"/>
  <c r="T26" i="5" l="1"/>
  <c r="U26" i="5"/>
  <c r="U23" i="5"/>
  <c r="U20" i="5" s="1"/>
  <c r="U17" i="5"/>
  <c r="T17" i="5" s="1"/>
  <c r="U16" i="5" s="1"/>
  <c r="T20" i="5"/>
  <c r="T14" i="5"/>
  <c r="E53" i="5"/>
  <c r="E52" i="5"/>
  <c r="E51" i="5"/>
  <c r="E50" i="5"/>
  <c r="E33" i="5"/>
  <c r="E32" i="5"/>
  <c r="E31" i="5"/>
  <c r="E30" i="5"/>
  <c r="E23" i="5"/>
  <c r="E22" i="5"/>
  <c r="E21" i="5"/>
  <c r="E20" i="5"/>
  <c r="E11" i="5"/>
  <c r="E12" i="5"/>
  <c r="E13" i="5"/>
  <c r="E10" i="5"/>
  <c r="T16" i="5" l="1"/>
  <c r="U14" i="5"/>
  <c r="E24" i="5"/>
  <c r="T27" i="5"/>
  <c r="T21" i="5"/>
  <c r="U27" i="5"/>
  <c r="T28" i="5"/>
  <c r="T29" i="5"/>
  <c r="U28" i="5" s="1"/>
  <c r="U21" i="5"/>
  <c r="T22" i="5"/>
  <c r="T23" i="5"/>
  <c r="U22" i="5" s="1"/>
  <c r="U15" i="5"/>
  <c r="E54" i="5"/>
  <c r="E34" i="5"/>
  <c r="E14" i="5"/>
  <c r="B11" i="4"/>
  <c r="M45" i="5" l="1"/>
  <c r="G45" i="5"/>
  <c r="I10" i="2" s="1"/>
  <c r="J45" i="5"/>
  <c r="G25" i="5"/>
  <c r="O10" i="2" s="1"/>
  <c r="M55" i="5"/>
  <c r="K14" i="2" s="1"/>
  <c r="J15" i="5"/>
  <c r="M12" i="2" s="1"/>
  <c r="T8" i="5"/>
  <c r="U11" i="5"/>
  <c r="U8" i="5" s="1"/>
  <c r="J25" i="5"/>
  <c r="O12" i="2" s="1"/>
  <c r="M25" i="5"/>
  <c r="O14" i="2" s="1"/>
  <c r="I14" i="2"/>
  <c r="G35" i="5"/>
  <c r="Q10" i="2" s="1"/>
  <c r="G15" i="5"/>
  <c r="M10" i="2" s="1"/>
  <c r="G55" i="5"/>
  <c r="K10" i="2" s="1"/>
  <c r="M35" i="5"/>
  <c r="Q14" i="2" s="1"/>
  <c r="M15" i="5"/>
  <c r="M14" i="2" s="1"/>
  <c r="J55" i="5"/>
  <c r="K12" i="2" s="1"/>
  <c r="J35" i="5"/>
  <c r="Q12" i="2" s="1"/>
  <c r="I12" i="2"/>
  <c r="T15" i="5"/>
  <c r="B12" i="4"/>
  <c r="B10" i="4"/>
  <c r="B9" i="4"/>
  <c r="B8" i="4"/>
  <c r="B7" i="4"/>
  <c r="C6" i="4"/>
  <c r="B6" i="4"/>
  <c r="B5" i="4"/>
  <c r="B4" i="4"/>
  <c r="U9" i="5" l="1"/>
  <c r="T11" i="5"/>
  <c r="U10" i="5" s="1"/>
  <c r="T10" i="5"/>
  <c r="T15" i="3"/>
  <c r="S15" i="3"/>
  <c r="R15" i="3"/>
  <c r="Q15" i="3"/>
  <c r="P15" i="3"/>
  <c r="O15" i="3"/>
  <c r="N15" i="3"/>
  <c r="M15" i="3"/>
  <c r="L15" i="3"/>
  <c r="K15" i="3"/>
  <c r="J15" i="3"/>
  <c r="I15" i="3"/>
  <c r="H15" i="3"/>
  <c r="F15" i="3"/>
  <c r="D15" i="3"/>
  <c r="C15" i="3"/>
  <c r="T9" i="5" l="1"/>
  <c r="E45" i="5"/>
  <c r="I15" i="2" s="1"/>
  <c r="E55" i="5"/>
  <c r="K15" i="2" s="1"/>
  <c r="E15" i="5"/>
  <c r="M15" i="2" s="1"/>
  <c r="E35" i="5"/>
  <c r="Q15" i="2" s="1"/>
  <c r="Q24" i="2" s="1"/>
  <c r="Q25" i="2" s="1"/>
  <c r="Q26" i="2" s="1"/>
  <c r="Q27" i="2" s="1"/>
  <c r="E25" i="5"/>
  <c r="O15" i="2" s="1"/>
  <c r="O24" i="2" l="1"/>
  <c r="O25" i="2" s="1"/>
  <c r="O26" i="2" s="1"/>
  <c r="O27" i="2" s="1"/>
  <c r="I24" i="2"/>
  <c r="I25" i="2" s="1"/>
  <c r="I26" i="2" s="1"/>
  <c r="I27" i="2" s="1"/>
  <c r="M24" i="2"/>
  <c r="M25" i="2" s="1"/>
  <c r="M26" i="2" s="1"/>
  <c r="M27" i="2" s="1"/>
  <c r="K24" i="2"/>
  <c r="K25" i="2" s="1"/>
  <c r="K26" i="2" s="1"/>
  <c r="K27" i="2" s="1"/>
  <c r="F24" i="2"/>
  <c r="F18" i="2" s="1"/>
</calcChain>
</file>

<file path=xl/sharedStrings.xml><?xml version="1.0" encoding="utf-8"?>
<sst xmlns="http://schemas.openxmlformats.org/spreadsheetml/2006/main" count="708" uniqueCount="362">
  <si>
    <t>Evaluation Category</t>
  </si>
  <si>
    <t>Category Weighting (total 100%) REVISED AND UPDATED</t>
  </si>
  <si>
    <t>Description</t>
  </si>
  <si>
    <t>Potential Displacements</t>
  </si>
  <si>
    <t>Socioeconomic Impacts</t>
  </si>
  <si>
    <t>Economic Viability and Potential Economic Influence</t>
  </si>
  <si>
    <t>Existing and Future Residential and Commercial Areas</t>
  </si>
  <si>
    <t>ROW Costs</t>
  </si>
  <si>
    <t xml:space="preserve"> Utilities</t>
  </si>
  <si>
    <t>Construction Costs</t>
  </si>
  <si>
    <t>Public Input</t>
  </si>
  <si>
    <t>Land Use</t>
  </si>
  <si>
    <t>Traffic LOS Improvement</t>
  </si>
  <si>
    <t>Wetlands / Waters of the U.S.</t>
  </si>
  <si>
    <t>Wildlife Habitat</t>
  </si>
  <si>
    <t>Floodplains</t>
  </si>
  <si>
    <t>State or Federally Listed Threatened or Endangered Species</t>
  </si>
  <si>
    <t>Historic and Archaeological Assests</t>
  </si>
  <si>
    <t>Cemeteries</t>
  </si>
  <si>
    <t>Hazardous Waste Sites</t>
  </si>
  <si>
    <t>Other Environmentally Sensitive Sites</t>
  </si>
  <si>
    <t>Approximate Cost</t>
  </si>
  <si>
    <t>Total Score</t>
  </si>
  <si>
    <t>Impacts/potential displacements for commercial/retail facility/eating establishment properties</t>
  </si>
  <si>
    <t>Impacts/potential displacements for single family residential properties</t>
  </si>
  <si>
    <t>Impacts/potential displacements for public facility property</t>
  </si>
  <si>
    <t>Impacts/potential displacements for hazmat materials site of concern properties</t>
  </si>
  <si>
    <t>Total potential displacements</t>
  </si>
  <si>
    <t>Approximate acres of ROW to be constructed as currently designed</t>
  </si>
  <si>
    <t>Estimated ROW Cost (Including Impacts, Damages, and Displacements)</t>
  </si>
  <si>
    <t>Overall social and economic impacts</t>
  </si>
  <si>
    <t>Impacts to utilities within proposed ROW limits</t>
  </si>
  <si>
    <t>Commercial/ Retail Facility/Eating Establishment</t>
  </si>
  <si>
    <t>Single Family Residential</t>
  </si>
  <si>
    <t>Public Facility</t>
  </si>
  <si>
    <t>Place of Worship</t>
  </si>
  <si>
    <t>Educational Facility</t>
  </si>
  <si>
    <t>Hazardous Materials Site of Concern</t>
  </si>
  <si>
    <t>Vacant Land</t>
  </si>
  <si>
    <t>Total Properties Affected</t>
  </si>
  <si>
    <t>Overall Level of Service</t>
  </si>
  <si>
    <t>Number of delineated welands within proposed ROW for any of the alternatives</t>
  </si>
  <si>
    <t>Impacts to Freshwater Ponds</t>
  </si>
  <si>
    <t xml:space="preserve">Potential impact due to proposed ROW </t>
  </si>
  <si>
    <t>Floodplain crossings</t>
  </si>
  <si>
    <t>Potential impacts to state or federally listed threatened or endangered species</t>
  </si>
  <si>
    <t>Historical or archaelological sites impacted by alternative</t>
  </si>
  <si>
    <t xml:space="preserve">Existing cemeteries within the project limits </t>
  </si>
  <si>
    <t>UST (Underground Storage Tank) sites identified</t>
  </si>
  <si>
    <t>AST (Above-ground Storage Tank) sites identified</t>
  </si>
  <si>
    <t>Hazardous materials concerns for project</t>
  </si>
  <si>
    <t xml:space="preserve">Other environmentally sensitive sites within the project limits </t>
  </si>
  <si>
    <t>Prelimiary Estimate of Probable Construction Costs</t>
  </si>
  <si>
    <t>Alternative 1 - East</t>
  </si>
  <si>
    <t>Alternative 1 - West</t>
  </si>
  <si>
    <t xml:space="preserve"> Alternative on Existing US 380 EAST of I-75</t>
  </si>
  <si>
    <t xml:space="preserve"> Alternative on Existing US 380 WEST of I-75</t>
  </si>
  <si>
    <t>Alternative 2 - East</t>
  </si>
  <si>
    <t>Alternative 2 - West</t>
  </si>
  <si>
    <t>Existing US 380 Alignment  + Spur 399 Alternative EAST of I-75</t>
  </si>
  <si>
    <t>Wilson's Creek Alternative WEST of I-75</t>
  </si>
  <si>
    <t>Alternative 3 - West</t>
  </si>
  <si>
    <t>Alternative 3 - East</t>
  </si>
  <si>
    <t>Wilson's Creek Alternative EAST of I-75</t>
  </si>
  <si>
    <t>Bloomdale East Alternative EAST of I-75</t>
  </si>
  <si>
    <t>Bloomdale East Alternative WEST of I-75</t>
  </si>
  <si>
    <t>Bloomdale West Alternative EAST of I-75</t>
  </si>
  <si>
    <t>Bloomdale West Alternative WEST of I-75</t>
  </si>
  <si>
    <t>Alternative 5 - West</t>
  </si>
  <si>
    <t>Alternative 5 -  East</t>
  </si>
  <si>
    <t>Alternative 4 -  West</t>
  </si>
  <si>
    <t>Alternative 4 - East</t>
  </si>
  <si>
    <t>Alternative 6 - East</t>
  </si>
  <si>
    <t>Alternative 6 - West</t>
  </si>
  <si>
    <t>Existing US 380 Alignment  + Spur 399  Alternative WEST of I-75</t>
  </si>
  <si>
    <t>Frontier Pkwy Alternative EAST of I-75</t>
  </si>
  <si>
    <t>Enhances Regional Mobility</t>
  </si>
  <si>
    <t>Enhances Safety</t>
  </si>
  <si>
    <t>Alternative 2</t>
  </si>
  <si>
    <t>Alternative 3</t>
  </si>
  <si>
    <t>Alternative 6</t>
  </si>
  <si>
    <t>Alternative 1</t>
  </si>
  <si>
    <t>Alt 1 description (HIDE when printing)</t>
  </si>
  <si>
    <t>Alt 6 description (HIDE when printing)</t>
  </si>
  <si>
    <t>Alt 5 description (HIDE when printing)</t>
  </si>
  <si>
    <t>Alt 4 description (HIDE when printing)</t>
  </si>
  <si>
    <t>Alt 3 description (HIDE when printing)</t>
  </si>
  <si>
    <t>Alt 2 description (HIDE when printing)</t>
  </si>
  <si>
    <t xml:space="preserve">Satisfies Travel Demand </t>
  </si>
  <si>
    <t xml:space="preserve">Does not achieve criteria </t>
  </si>
  <si>
    <t>No Build</t>
  </si>
  <si>
    <t xml:space="preserve">Partially meets criteria </t>
  </si>
  <si>
    <t>Bloomdale East Alignment</t>
  </si>
  <si>
    <t>Bloomdale West Alignment</t>
  </si>
  <si>
    <t>Frontier Pkwy Alignment</t>
  </si>
  <si>
    <t>Criteria Rating Scale</t>
  </si>
  <si>
    <t>US 380 Draft Alternatives Evaluation Matrix</t>
  </si>
  <si>
    <t>Minimizes Construction Cost</t>
  </si>
  <si>
    <t>Highly meets criteria</t>
  </si>
  <si>
    <t>Combined residential impacts with future development impacts. Combined business relocations with business development. Combined environmental and parkland impacts.</t>
  </si>
  <si>
    <t>Slight positive; allows more space for businesses and doesn't impact any.</t>
  </si>
  <si>
    <t>Impacts almost no businesses.</t>
  </si>
  <si>
    <t>No-Build description (HIDE when printing)</t>
  </si>
  <si>
    <t>Minimizes Corridor Business Effects</t>
  </si>
  <si>
    <t>Category Weighting</t>
  </si>
  <si>
    <t>Provides no additional future benefit to region</t>
  </si>
  <si>
    <t>Currently underserves traffic demand. Will only get worse</t>
  </si>
  <si>
    <t xml:space="preserve">Current roadway raises some safety concerns </t>
  </si>
  <si>
    <t>No build would only incur maintenance cost</t>
  </si>
  <si>
    <t xml:space="preserve">No build would not displace residenses </t>
  </si>
  <si>
    <t xml:space="preserve">Category Explanation </t>
  </si>
  <si>
    <t>32.3miles   @908936825.001238   Rank2</t>
  </si>
  <si>
    <t>31.59miles   @866391280.265983   Rank1</t>
  </si>
  <si>
    <t>33.61miles   @1022137140.25754   Rank3</t>
  </si>
  <si>
    <t>35.46miles   @1132046501.31066   Rank5</t>
  </si>
  <si>
    <t>46.73miles   @1305384128.31066   Rank7</t>
  </si>
  <si>
    <t>35.42miles   @1166024997.69999   Rank6</t>
  </si>
  <si>
    <t>46.44miles   @1328173942.69999   Rank8</t>
  </si>
  <si>
    <t>41.47miles   @1090073974.88238   Rank4</t>
  </si>
  <si>
    <t>Stakeholder and Public Support</t>
  </si>
  <si>
    <t>Supports Future Regional Economic Growth</t>
  </si>
  <si>
    <t>Alignment location has the ability to increase safety with respect to: adequate control of access for existing businesses, grade separations, divided roadways with barrier, enhance regional safety by providing safer route.</t>
  </si>
  <si>
    <t>Minimizes negative effects on public parkland and myriad of other environmental concerns. Results not fully tablated yet.</t>
  </si>
  <si>
    <t>Combined item: balancing how the alternative affects CORRIDOR business. Put mathematically: (likely to create new business near the alignment) minus (required business relocations). Results not fully tablated yet.</t>
  </si>
  <si>
    <t>Contributes to land-use patterns which will encourage development. (This one may take some research. What does NCTCOG see as the best means of doing this? Will development continue as it has, with one-mile-square nodes of light commercial and 6-10 mile square corridors of heavier commercial, with mostly single-family residential as filler? That’s pretty much North Dallas Metro over the past 20 years. Do we see our new highway as the next PGBT?)</t>
  </si>
  <si>
    <t>Think TDM attractiveness. This category rewards alternatives that generate high traffic volumes indicating optimal roadway placement  which would lead to a decrease in regional delay and improvement in LOS. I.E. decrease in regional congestion.</t>
  </si>
  <si>
    <t>Spacing and (nodes) interchange configuation/ proximity are a consideration in this catagory's score.</t>
  </si>
  <si>
    <t xml:space="preserve"> Has the capacity – both on segments and at nodes (that means taking a good look at our interchanges and connections too!) – to serve the traffic anticipated for the region.  Reduces the landlocked areas. Improves the ability of Collin County residents to reach a wide variety of regional employment centers, and (eventually) improves the ability of regional residents to reach a wide variety of Collin County employment centers. </t>
  </si>
  <si>
    <t>Evaluation Status</t>
  </si>
  <si>
    <t xml:space="preserve">Provides regional connectivity in a geographical configuation that provides superior mobility between current freeways and major roadways? Reduces the landlocked areas. Improves the ability of Collin County residents to reach a wide variety of regional employment centers, and (eventually) improves the ability of regional residents to reach a wide variety of Collin County employment centers. </t>
  </si>
  <si>
    <t>Completed Initial Assessment</t>
  </si>
  <si>
    <t>Minimizes Environmental and Park Land Impacts</t>
  </si>
  <si>
    <t>Assessment Ongoing</t>
  </si>
  <si>
    <t>???</t>
  </si>
  <si>
    <t>Based on ranking of initial cost estimate by lanes warranted y traffic volume and segment lengths. We DON’T want toshow cost in $$$ at this time. Cost estimate not thoroughly reviewed.</t>
  </si>
  <si>
    <t>Locally, current and future land use patterns are centered around US 380, Perryman report bolsters this argument</t>
  </si>
  <si>
    <t xml:space="preserve">Existing corridor improvements would have to contend with potential access control issues along FR with existing businesses </t>
  </si>
  <si>
    <t xml:space="preserve"> Segment of US 380 west of US 75 has highest volume of all alts, shows need for add'l capacity here</t>
  </si>
  <si>
    <t>Offers high degree of mobility options east of US 75 and West of US 75</t>
  </si>
  <si>
    <t>North loop provides alternative route around downtown Mckinney. No significant regional change in regional options.</t>
  </si>
  <si>
    <t xml:space="preserve">Mobility is increased by providing route where existing homes and businsess reside. </t>
  </si>
  <si>
    <t>Wilson creek cutoff provides motorist with new connections around fully devloped area. Spur 399 gives motorist additional options and links up SRT.</t>
  </si>
  <si>
    <t xml:space="preserve">Potential fatal flaws with Wilson Creek being 4F. Reduces much of McKinney's Park space </t>
  </si>
  <si>
    <t xml:space="preserve"> Freeway discontinuity may be issue. Mobility is increased by providing route where existing homes and businsess reside. Spur 399 gives motorist additional options and links up SRT.</t>
  </si>
  <si>
    <t xml:space="preserve">Volumes east and west of US 75 not as high as Alt 1. </t>
  </si>
  <si>
    <t>Frontier parkway alignment may compete with the outer loop for traffic</t>
  </si>
  <si>
    <t>Reduces demand on US 380. Appears to show an unmet demand,  but unsure bc close to Outer Loop</t>
  </si>
  <si>
    <t>Demand much lower than Alt 5 (Bloomdale west)</t>
  </si>
  <si>
    <t>Demand is high on north bypass that ties in near Custer</t>
  </si>
  <si>
    <t>New alignment would not have to contend with many COA issues like existing corridor</t>
  </si>
  <si>
    <t>Not very compatible with current future land use plans. US 380 throughout Prosper and Frisco would be hurt</t>
  </si>
  <si>
    <t>Very compatible with current future land use plans. And bypasses existing business on US 380 near 75 where they would be most affected</t>
  </si>
  <si>
    <t xml:space="preserve"> compatible with current future land use plans, but traffic volumes split between ex 380 and bypass doesn’t fully promote new growth</t>
  </si>
  <si>
    <t>Wilson creek segment does not provide for commercial corridor. Spur 399 is nearly the same</t>
  </si>
  <si>
    <t xml:space="preserve"> compatible with current future land use plans and potential for growth along developed corridor</t>
  </si>
  <si>
    <t>Some residences on US 380 east of US 75 have potential of displacement</t>
  </si>
  <si>
    <t>Some potential future displacements, but timing of corridor preservation could minimize</t>
  </si>
  <si>
    <t>Minimizes residential displacements and disruptions of existing or planned neighborhoods.  Results not fully tablated yet. REVIEW ONCE ARCMAP UP!!!!</t>
  </si>
  <si>
    <t>Minimal impact on park land</t>
  </si>
  <si>
    <t xml:space="preserve">No impact </t>
  </si>
  <si>
    <t>Some impact on park land with Spur 399 proximity to Heard Museum</t>
  </si>
  <si>
    <t>Would cause some business displacements along corridor, but many parcel remainder can house new development</t>
  </si>
  <si>
    <t>Impacts few businesses.</t>
  </si>
  <si>
    <t xml:space="preserve">Criteria Evaluation Status </t>
  </si>
  <si>
    <t>?</t>
  </si>
  <si>
    <t xml:space="preserve">Minimizes Construction Cost </t>
  </si>
  <si>
    <t>Preliminary Category Weighting</t>
  </si>
  <si>
    <t xml:space="preserve">Along Existing US 380 </t>
  </si>
  <si>
    <t xml:space="preserve">Along Existing US 380 + Spur 399 extension </t>
  </si>
  <si>
    <t xml:space="preserve">Wilson Creek Alignment + Spur 399 extension </t>
  </si>
  <si>
    <t xml:space="preserve">Supports Travel Demand </t>
  </si>
  <si>
    <t>Enhances Safety/Meets Design Standards</t>
  </si>
  <si>
    <t>Alternative 4A</t>
  </si>
  <si>
    <t xml:space="preserve">Bloomdale East Alignment + Spur 399 extension </t>
  </si>
  <si>
    <t>Alternative 4B</t>
  </si>
  <si>
    <t>Alternative 5A</t>
  </si>
  <si>
    <t>Alternative 5B</t>
  </si>
  <si>
    <t xml:space="preserve">Bloomdale West Alignment + Spur 399 extension </t>
  </si>
  <si>
    <t xml:space="preserve">Provides regional connectivity in a geographical configuation. Reduces the landlocked areas. Improves the ability of Collin County residents to reach a wide variety of regional employment centers, and (eventually) improves the ability of regional residents to reach a wide variety of Collin County employment centers. </t>
  </si>
  <si>
    <t xml:space="preserve">Contributes to land-use patterns which will encourage development. (This one may take some research. How will the region's economy grow in the future? What does NCTCOG see as the best means of doing this? Are existing trends likely to continue, or is a different model more likely?) </t>
  </si>
  <si>
    <t xml:space="preserve">Minimizes residential displacements and disruptions of existing or planned neighborhoods.  </t>
  </si>
  <si>
    <t xml:space="preserve">Minimizes negative effects on public parkland and on other areas of environmental concern. </t>
  </si>
  <si>
    <t xml:space="preserve">Combined item: balancing how the alternative affects CORRIDOR business. Put mathematically: (likely to create new business near the alignment) minus (required business relocations). </t>
  </si>
  <si>
    <t>What do the municipalities think of the corridor? What is the likely or established public view of the alternative?</t>
  </si>
  <si>
    <t>Provides no additional capacity.</t>
  </si>
  <si>
    <t>Scoring Method</t>
  </si>
  <si>
    <t>Overall average 2.0 or less.</t>
  </si>
  <si>
    <t>Between 2.0 and 4.0</t>
  </si>
  <si>
    <t>Between 4.0 and 6.0</t>
  </si>
  <si>
    <t>Between 6.0 and 8.0</t>
  </si>
  <si>
    <t>8.0 or greater.</t>
  </si>
  <si>
    <t>The lowest-cost corridor.</t>
  </si>
  <si>
    <t>All corridors more than 20% below the median, except for…</t>
  </si>
  <si>
    <t>All other high-cost corridors which are more than 20% above the median.</t>
  </si>
  <si>
    <t xml:space="preserve">Based on ranking of initial cost estimate by lanes warranted by traffic volume and segment lengths. </t>
  </si>
  <si>
    <t>Use the most recent Technical Workshop evaluations (September 2017); develop a weighted average.</t>
  </si>
  <si>
    <t>High Score Is…</t>
  </si>
  <si>
    <t>Good</t>
  </si>
  <si>
    <t>Bad</t>
  </si>
  <si>
    <t xml:space="preserve">The lowest-impact corridor, plus any within 10% or so. </t>
  </si>
  <si>
    <t>The highest-impact corridor, plus any within 10% or so.</t>
  </si>
  <si>
    <t>All corridors within 20% of the median.</t>
  </si>
  <si>
    <t>The highest-impact corridor, plus any within 25% or so.</t>
  </si>
  <si>
    <t>All corridors within 20% of the median, unless the median is close to or within the "highest-impact" band.</t>
  </si>
  <si>
    <t>Start with 5 points. Subtract 0.5 point for each displacement of a business employing at least 10 (i.e. other than small retail shops). Add 0.5 points for existing commercial areas adjacent to new interchanges. Add 0.5 points for each new local interchange featuring at least 2 quadrants of open land.</t>
  </si>
  <si>
    <t>Potential Scoring Rubric</t>
  </si>
  <si>
    <t>Notes</t>
  </si>
  <si>
    <t>A bell curve will not be applicable if all scores are relatively close.</t>
  </si>
  <si>
    <t>All scores within 20% of the minimum.</t>
  </si>
  <si>
    <t>Scores 20%-30% over the minimum.</t>
  </si>
  <si>
    <t>Scores 30-40% over the minimum.</t>
  </si>
  <si>
    <t>Scores 40%-50% over the minimum.</t>
  </si>
  <si>
    <t>Assume 50 mph along the alignment unless we are certain of no congestion.
ALTERNATIVE (points are bad): One point equals one mile for the following: Distance along alignment between DNT and US 75 + US 75 and Hunt County line + US 380 / US 75 to the US 75 / SRT interchange.
Add one point for each signalized intersection.</t>
  </si>
  <si>
    <t>One point equals one minute: 
1) Travel time from the intersection of exist US 380 / Custer to US 380 / DNT
2) Travel time from the intersection of US 380 / Custer to US 75 / SRT
3) Travel time from the intersection of US 380 / Custer to US 380 / 4th Street (Princeton)
4) Travel time from the intersection of US 380 / 4th Street to US 75 / SRT</t>
  </si>
  <si>
    <t>ALTERNATIVE: Score 1.0 points for each mile which lies within NCTCOG "hot spots" of future travel demand. Deduct 0.5 point for each mile of surface street likely to experience congestion based on the location of the corridor.</t>
  </si>
  <si>
    <t>For each of the five study area sections defined in the Work Session Summary, assign 10 points to the corridor with the highest volume. Assign, to the nearest whole number, a proportional number of points to the other corridors. 50 points are theoretically possible.</t>
  </si>
  <si>
    <t>All scores within 10% of the maximum.</t>
  </si>
  <si>
    <t>Scores 10%-20% below the maximum.</t>
  </si>
  <si>
    <t>Scores 20%-30% below the maximum.</t>
  </si>
  <si>
    <t>Provides additional capacity but scores more than 30% below the maximum.</t>
  </si>
  <si>
    <t>1) 1.0 points for each mile of alignment within/along known centers of concentrated economic activity (US 380 at DNT, US 380 at US 75, Collin County Airport). 
2) 1.0 points for each mile of alignment within/along planned or potential centers of concentrated economic activity.
(Single-family residential development is not considered "concentrated" for this evaluation.)</t>
  </si>
  <si>
    <t>All scores within 20% of the maximum.</t>
  </si>
  <si>
    <t>Scores 20-40% below the maximum.</t>
  </si>
  <si>
    <t>Scores 40%-60% below the maximum.</t>
  </si>
  <si>
    <t xml:space="preserve">Assume 0 is an LAR built to ideal typical section (350'-400' ROW). Add 1 point for each substantial section using less than 70 mph design speed or narrowed typical section. Add 2 points for each interchange likely to require design exceptions. Add 4 points for each mainline traffic signal. </t>
  </si>
  <si>
    <t>0-2.</t>
  </si>
  <si>
    <t>0-3 ratings will depend on what scores are developed.</t>
  </si>
  <si>
    <t xml:space="preserve"> Has the ability – both on segments and at nodes – to serve the traffic anticipated for the region.</t>
  </si>
  <si>
    <t>Use the most recent cost estimates for each corridor.</t>
  </si>
  <si>
    <t>More impacts = higher score = poor rating. 1 point for each household displacement (e.g. 10 pts for removal of 10-unit apt building). Add points for significant impact to routes of primary residential access (somewhat subjective).</t>
  </si>
  <si>
    <t>3 points for each acre, or portion thereof, of park impact. 0.5 point for each acre of floodway impact. 1 point for each "sensitive use" parcel impact (e.g. schools). 1 point for cultural resource impacts.</t>
  </si>
  <si>
    <t>Optimizes Local Business Effects</t>
  </si>
  <si>
    <t>Measurements</t>
  </si>
  <si>
    <t>Objective</t>
  </si>
  <si>
    <t>Scores 60% or more below the maximum.</t>
  </si>
  <si>
    <t xml:space="preserve">Do not use. </t>
  </si>
  <si>
    <t>Probably only the No-Build meets this definitiion.</t>
  </si>
  <si>
    <t>Use only with discretion.</t>
  </si>
  <si>
    <t xml:space="preserve">Minimizes business displacements and disruptions of existing or planned businesses.  </t>
  </si>
  <si>
    <t>More impacts = higher score = poor rating. 1 point for each business. Add points for significant impact to routes of primary business access (somewhat subjective).</t>
  </si>
  <si>
    <t>Minimizes Current Residential Impacts</t>
  </si>
  <si>
    <t>Minimizes Current Business Impacts</t>
  </si>
  <si>
    <t>Environmental and Park Impacts</t>
  </si>
  <si>
    <t>Business Impacts</t>
  </si>
  <si>
    <t>Future Developmet Impacts</t>
  </si>
  <si>
    <t>Current Resident Impacts</t>
  </si>
  <si>
    <t>Current Business Impacts</t>
  </si>
  <si>
    <t>Parkland</t>
  </si>
  <si>
    <t>Acres</t>
  </si>
  <si>
    <t>COE</t>
  </si>
  <si>
    <t>Floodplain</t>
  </si>
  <si>
    <t>Floodway</t>
  </si>
  <si>
    <t>Each</t>
  </si>
  <si>
    <t>Variable</t>
  </si>
  <si>
    <t>Weighted</t>
  </si>
  <si>
    <t>Total</t>
  </si>
  <si>
    <t>Matrix Values</t>
  </si>
  <si>
    <t>Residential Impacts</t>
  </si>
  <si>
    <t>Enviro and Park Impacts</t>
  </si>
  <si>
    <t>Future Development Impacts</t>
  </si>
  <si>
    <t>15% of max value</t>
  </si>
  <si>
    <t>15% decrease of max value</t>
  </si>
  <si>
    <t>No build would not impact currently permitted developments</t>
  </si>
  <si>
    <t>Minimizes negative effects on public parkland and myriad of other environmental concerns. Results not fully tabulated yet.</t>
  </si>
  <si>
    <t>Combined item: balancing how the alternative affects CORRIDOR business. Put mathematically: (likely to create new business near the alignment) minus (required business relocations). Results not fully tabulated yet.</t>
  </si>
  <si>
    <t xml:space="preserve">Mobility is increased by providing route where existing homes and businesses reside. </t>
  </si>
  <si>
    <t xml:space="preserve"> Freeway discontinuity may be issue. Mobility is increased by providing route where existing homes and businesses reside. Spur 399 gives motorist additional options and links up SRT.</t>
  </si>
  <si>
    <t>Wilson creek cutoff provides motorist with new connections around fully developed area. Spur 399 gives motorist additional options and links up SRT.</t>
  </si>
  <si>
    <t xml:space="preserve">Provides regional connectivity in a geographical configuration that provides superior mobility between current freeways and major roadways? Reduces the landlocked areas. Improves the ability of Collin County residents to reach a wide variety of regional employment centers, and (eventually) improves the ability of regional residents to reach a wide variety of Collin County employment centers. </t>
  </si>
  <si>
    <t>Spacing and (nodes) interchange configuration/ proximity are a consideration in this category's score.</t>
  </si>
  <si>
    <t xml:space="preserve">No build would not displace residences </t>
  </si>
  <si>
    <t>Minimizes displacements and disruptions of future development.  Results not fully tabulated yet.</t>
  </si>
  <si>
    <t>Minimizes business displacements and disruptions of existing businesses.  Results not fully tabulated yet.</t>
  </si>
  <si>
    <t xml:space="preserve">Minimizes residential displacements and disruptions of existing neighborhoods.  Results not fully tabulated yet. </t>
  </si>
  <si>
    <t xml:space="preserve">The amount of current impacts to residence. Results not fully tabulated yet. </t>
  </si>
  <si>
    <t xml:space="preserve">The amount of current impacts to businesses. Results not fully tabulated yet. </t>
  </si>
  <si>
    <t>US 380 North Shift Alignment</t>
  </si>
  <si>
    <t>US 380 South Shift Alignment</t>
  </si>
  <si>
    <t xml:space="preserve">US 380 Bypass 1 </t>
  </si>
  <si>
    <t>US 380 Bypass 2</t>
  </si>
  <si>
    <t>US 380 Bypass 3</t>
  </si>
  <si>
    <t>TBD</t>
  </si>
  <si>
    <t>Green Alignment</t>
  </si>
  <si>
    <t>Pink Alignment</t>
  </si>
  <si>
    <t>Blue Alignment</t>
  </si>
  <si>
    <t>Red Alignment</t>
  </si>
  <si>
    <t>Yellow Alignment</t>
  </si>
  <si>
    <t xml:space="preserve">Based on ranking of initial cost estimate by lanes warranted y traffic volume and segment lengths. We DON’T want to show cost in $$$ at this time. </t>
  </si>
  <si>
    <t>$</t>
  </si>
  <si>
    <t>90% of max value</t>
  </si>
  <si>
    <t>Max Value</t>
  </si>
  <si>
    <t>80% of max value</t>
  </si>
  <si>
    <t>North - Green</t>
  </si>
  <si>
    <t>South - Pink</t>
  </si>
  <si>
    <t>Bypass 1 - Blue</t>
  </si>
  <si>
    <t>Bypass 2 - Red</t>
  </si>
  <si>
    <t>Bypass 3 - Yellow</t>
  </si>
  <si>
    <t>Blue</t>
  </si>
  <si>
    <t>White</t>
  </si>
  <si>
    <t>Number of Current Residential Displacements</t>
  </si>
  <si>
    <t>Minimizes Current Residential Displacements</t>
  </si>
  <si>
    <t>Minimizes Current Business Displacements</t>
  </si>
  <si>
    <t>Number of Current Business Displacements</t>
  </si>
  <si>
    <t>Residential Displacement</t>
  </si>
  <si>
    <t>Business Induced Displacement</t>
  </si>
  <si>
    <t>Business Direct Displacement</t>
  </si>
  <si>
    <t>Future Development</t>
  </si>
  <si>
    <t>EA</t>
  </si>
  <si>
    <t>AC</t>
  </si>
  <si>
    <t>Unit</t>
  </si>
  <si>
    <t>Route Comparison Matrix</t>
  </si>
  <si>
    <t>FT</t>
  </si>
  <si>
    <t>LF</t>
  </si>
  <si>
    <t>Notes:</t>
  </si>
  <si>
    <t>Impact to Residential Property</t>
  </si>
  <si>
    <t xml:space="preserve">Impact to Business Property </t>
  </si>
  <si>
    <t>US 380 Feasibility Study</t>
  </si>
  <si>
    <t>Impacted Item</t>
  </si>
  <si>
    <t>Undated Planned Dev.</t>
  </si>
  <si>
    <t>Approved Zoning</t>
  </si>
  <si>
    <t>Active</t>
  </si>
  <si>
    <t>Approved</t>
  </si>
  <si>
    <t>Plats Filed</t>
  </si>
  <si>
    <t>Building Permit Issued</t>
  </si>
  <si>
    <t>Residences</t>
  </si>
  <si>
    <t>Businesses</t>
  </si>
  <si>
    <t>Total Future Development</t>
  </si>
  <si>
    <t>Utillity Impact</t>
  </si>
  <si>
    <t>Willow Wood Neighborhood</t>
  </si>
  <si>
    <t>Pecan Ridge Neighborhood</t>
  </si>
  <si>
    <t>Trinity Heights Neighborhood</t>
  </si>
  <si>
    <t>US 75 and Laud Howell Intersection Dist.</t>
  </si>
  <si>
    <t>Proximity to Closest Home</t>
  </si>
  <si>
    <t>Option 3A</t>
  </si>
  <si>
    <t>Option 3B</t>
  </si>
  <si>
    <t xml:space="preserve">Option 1) Swing from 399 west to the red alignment presented at PM2 just north of existing US 380 </t>
  </si>
  <si>
    <t>Option 3) Reintroduce an alignment that stays on the west edge of the regulatory floodway, but try to meet up with the Red alignment shown at PM2 near Willow Wood</t>
  </si>
  <si>
    <t>Option 2A</t>
  </si>
  <si>
    <t>Option 2B</t>
  </si>
  <si>
    <t>Based on Josh Robertson's email onf 12/18/18, there are 3 options:</t>
  </si>
  <si>
    <t>Option 3C</t>
  </si>
  <si>
    <t>Option 3A - Based on Option 3 but uses a large radii for the US 75 crossing</t>
  </si>
  <si>
    <t xml:space="preserve">Option 3B - Based on Option 3 but uses the same small radii just to the left of it </t>
  </si>
  <si>
    <t>Option 3C - Based on Option 3  but removes 1 of the broken back curves</t>
  </si>
  <si>
    <t>Option 2A - Based on Option 2 but removes 1 of the broken back curves</t>
  </si>
  <si>
    <t>Option 2B - Based on Option 2 but uses the same small radii just to the left of it</t>
  </si>
  <si>
    <t>Option 1</t>
  </si>
  <si>
    <t xml:space="preserve">Option 1 - Based on Option 1 </t>
  </si>
  <si>
    <t>Option 2) Reintroduce an alignment that stays on the west edge of the regulatory floodway. (This leg was previously eliminated due to eng. costs and drainage/env concerns with the riparian buffer.)</t>
  </si>
  <si>
    <t>Regulatory Floodway</t>
  </si>
  <si>
    <t>Floodplain (total)</t>
  </si>
  <si>
    <t>Approx. Bridge Length</t>
  </si>
  <si>
    <t>Alignment Length</t>
  </si>
  <si>
    <t>MI</t>
  </si>
  <si>
    <t>Bridge length is assumed to be the length of the alignment that overlaps the regulatory floodway.</t>
  </si>
  <si>
    <t>Alignment length based on the same termini points. The PM2 Red alignment, for the same termini points is 8.29 miles.</t>
  </si>
  <si>
    <t>Project Cost for each alignment is preliminarily assumed to be equivalent to the Red B Alignment.</t>
  </si>
  <si>
    <t>Green B Ext.</t>
  </si>
  <si>
    <t xml:space="preserve">Public Meeting 2 Red </t>
  </si>
  <si>
    <t>Alignment length based on the same termini points.</t>
  </si>
  <si>
    <t>Park Land</t>
  </si>
  <si>
    <t xml:space="preserve"> Tunnel Alignment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</si>
</sst>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0.0"/>
  </numFmts>
  <fonts count="60" x14ac:knownFonts="1">
    <font>
      <sz val="11"/>
      <color theme="1"/>
      <name val="Calibri"/>
      <family val="2"/>
      <scheme val="minor"/>
    </font>
    <font>
      <b/>
      <sz val="11"/>
      <color theme="1"/>
      <name val="Calibri"/>
      <family val="2"/>
      <scheme val="minor"/>
    </font>
    <font>
      <sz val="11"/>
      <color rgb="FF3F3F76"/>
      <name val="Calibri"/>
      <family val="2"/>
      <scheme val="minor"/>
    </font>
    <font>
      <sz val="36"/>
      <color theme="4"/>
      <name val="Harvey Balls"/>
      <family val="3"/>
    </font>
    <font>
      <b/>
      <sz val="16"/>
      <color theme="1"/>
      <name val="Calibri"/>
      <family val="2"/>
      <scheme val="minor"/>
    </font>
    <font>
      <sz val="16"/>
      <color theme="1"/>
      <name val="Calibri"/>
      <family val="2"/>
      <scheme val="minor"/>
    </font>
    <font>
      <sz val="11"/>
      <color theme="8"/>
      <name val="Calibri"/>
      <family val="2"/>
      <scheme val="minor"/>
    </font>
    <font>
      <sz val="36"/>
      <color theme="1"/>
      <name val="Calibri"/>
      <family val="2"/>
      <scheme val="minor"/>
    </font>
    <font>
      <sz val="36"/>
      <color theme="1"/>
      <name val="Harvey Balls"/>
      <family val="3"/>
    </font>
    <font>
      <b/>
      <sz val="20"/>
      <color theme="1"/>
      <name val="Calibri"/>
      <family val="2"/>
      <scheme val="minor"/>
    </font>
    <font>
      <sz val="16"/>
      <color rgb="FF3F3F76"/>
      <name val="Calibri"/>
      <family val="2"/>
      <scheme val="minor"/>
    </font>
    <font>
      <sz val="11"/>
      <color theme="1"/>
      <name val="Calibri"/>
      <family val="2"/>
      <scheme val="minor"/>
    </font>
    <font>
      <sz val="48"/>
      <color theme="1"/>
      <name val="Harvey Balls"/>
      <family val="3"/>
    </font>
    <font>
      <sz val="11"/>
      <color theme="5"/>
      <name val="Calibri"/>
      <family val="2"/>
      <scheme val="minor"/>
    </font>
    <font>
      <b/>
      <sz val="18"/>
      <color theme="1"/>
      <name val="Calibri"/>
      <family val="2"/>
      <scheme val="minor"/>
    </font>
    <font>
      <b/>
      <sz val="22"/>
      <color theme="1"/>
      <name val="Calibri"/>
      <family val="2"/>
      <scheme val="minor"/>
    </font>
    <font>
      <sz val="11"/>
      <color rgb="FF9C0006"/>
      <name val="Calibri"/>
      <family val="2"/>
      <scheme val="minor"/>
    </font>
    <font>
      <sz val="18"/>
      <color theme="1"/>
      <name val="Calibri"/>
      <family val="2"/>
      <scheme val="minor"/>
    </font>
    <font>
      <sz val="20"/>
      <color theme="1"/>
      <name val="Calibri"/>
      <family val="2"/>
      <scheme val="minor"/>
    </font>
    <font>
      <sz val="11"/>
      <color theme="1"/>
      <name val="Calibri"/>
      <family val="2"/>
      <scheme val="minor"/>
    </font>
    <font>
      <sz val="36"/>
      <color theme="1"/>
      <name val="Calibri"/>
      <family val="2"/>
      <scheme val="minor"/>
    </font>
    <font>
      <b/>
      <sz val="11"/>
      <color theme="1"/>
      <name val="Calibri"/>
      <family val="2"/>
      <scheme val="minor"/>
    </font>
    <font>
      <sz val="16"/>
      <color theme="1"/>
      <name val="Calibri"/>
      <family val="2"/>
      <scheme val="minor"/>
    </font>
    <font>
      <sz val="16"/>
      <color theme="1"/>
      <name val="Franklin Gothic Book"/>
      <family val="2"/>
    </font>
    <font>
      <b/>
      <sz val="16"/>
      <color theme="1"/>
      <name val="Franklin Gothic Book"/>
      <family val="2"/>
    </font>
    <font>
      <sz val="11"/>
      <color rgb="FF3F3F76"/>
      <name val="Calibri"/>
      <family val="2"/>
      <scheme val="minor"/>
    </font>
    <font>
      <b/>
      <sz val="16"/>
      <color theme="1"/>
      <name val="Calibri"/>
      <family val="2"/>
      <scheme val="minor"/>
    </font>
    <font>
      <b/>
      <sz val="14"/>
      <color theme="1"/>
      <name val="Franklin Gothic Book"/>
      <family val="2"/>
    </font>
    <font>
      <b/>
      <sz val="12"/>
      <color theme="1"/>
      <name val="Franklin Gothic Book"/>
      <family val="2"/>
    </font>
    <font>
      <sz val="14"/>
      <color rgb="FF3F3F76"/>
      <name val="Franklin Gothic Book"/>
      <family val="2"/>
    </font>
    <font>
      <b/>
      <sz val="22"/>
      <color theme="1"/>
      <name val="Calibri"/>
      <family val="2"/>
      <scheme val="minor"/>
    </font>
    <font>
      <sz val="18"/>
      <color theme="1"/>
      <name val="Calibri"/>
      <family val="2"/>
      <scheme val="minor"/>
    </font>
    <font>
      <sz val="36"/>
      <color rgb="FF0F385A"/>
      <name val="Harvey Balls"/>
      <family val="3"/>
    </font>
    <font>
      <sz val="11"/>
      <color rgb="FF0F385A"/>
      <name val="Calibri"/>
      <family val="2"/>
      <scheme val="minor"/>
    </font>
    <font>
      <sz val="11"/>
      <color theme="8"/>
      <name val="Calibri"/>
      <family val="2"/>
      <scheme val="minor"/>
    </font>
    <font>
      <sz val="11"/>
      <color rgb="FF9C0006"/>
      <name val="Calibri"/>
      <family val="2"/>
      <scheme val="minor"/>
    </font>
    <font>
      <sz val="36"/>
      <color rgb="FFCC7B29"/>
      <name val="Harvey Balls"/>
      <family val="3"/>
    </font>
    <font>
      <sz val="11"/>
      <color rgb="FFCC7B29"/>
      <name val="Calibri"/>
      <family val="2"/>
      <scheme val="minor"/>
    </font>
    <font>
      <sz val="11"/>
      <color theme="5"/>
      <name val="Calibri"/>
      <family val="2"/>
      <scheme val="minor"/>
    </font>
    <font>
      <sz val="20"/>
      <color theme="1"/>
      <name val="Calibri"/>
      <family val="2"/>
      <scheme val="minor"/>
    </font>
    <font>
      <sz val="36"/>
      <color theme="5"/>
      <name val="Harvey Balls"/>
      <family val="3"/>
    </font>
    <font>
      <b/>
      <sz val="20"/>
      <color theme="1"/>
      <name val="Calibri"/>
      <family val="2"/>
      <scheme val="minor"/>
    </font>
    <font>
      <sz val="36"/>
      <color theme="1"/>
      <name val="Harvey Balls"/>
      <family val="3"/>
    </font>
    <font>
      <sz val="36"/>
      <color theme="8"/>
      <name val="Harvey Balls"/>
      <family val="3"/>
    </font>
    <font>
      <sz val="48"/>
      <color theme="1"/>
      <name val="Harvey Balls"/>
      <family val="3"/>
    </font>
    <font>
      <b/>
      <u/>
      <sz val="11"/>
      <color theme="1"/>
      <name val="Calibri"/>
      <family val="2"/>
      <scheme val="minor"/>
    </font>
    <font>
      <sz val="14"/>
      <color theme="1"/>
      <name val="Calibri"/>
      <family val="2"/>
      <scheme val="minor"/>
    </font>
    <font>
      <sz val="11"/>
      <color theme="1"/>
      <name val="Arial Narrow"/>
      <family val="2"/>
    </font>
    <font>
      <b/>
      <u/>
      <sz val="18"/>
      <color theme="1"/>
      <name val="Calibri"/>
      <family val="2"/>
      <scheme val="minor"/>
    </font>
    <font>
      <sz val="11"/>
      <color theme="4"/>
      <name val="Calibri"/>
      <family val="2"/>
      <scheme val="minor"/>
    </font>
    <font>
      <b/>
      <sz val="14"/>
      <color theme="1"/>
      <name val="Calibri"/>
      <family val="2"/>
      <scheme val="minor"/>
    </font>
    <font>
      <sz val="36"/>
      <color theme="1"/>
      <name val="Gotham Black"/>
      <family val="3"/>
    </font>
    <font>
      <sz val="10"/>
      <color theme="1"/>
      <name val="Arial Narrow"/>
      <family val="2"/>
    </font>
    <font>
      <b/>
      <sz val="10"/>
      <color theme="1"/>
      <name val="Arial Narrow"/>
      <family val="2"/>
    </font>
    <font>
      <vertAlign val="superscript"/>
      <sz val="10"/>
      <color theme="1"/>
      <name val="Arial Narrow"/>
      <family val="2"/>
    </font>
    <font>
      <b/>
      <sz val="11"/>
      <color theme="1"/>
      <name val="Arial Narrow"/>
      <family val="2"/>
    </font>
    <font>
      <sz val="14"/>
      <color theme="1"/>
      <name val="Arial Narrow"/>
      <family val="2"/>
    </font>
    <font>
      <b/>
      <sz val="14"/>
      <color theme="1"/>
      <name val="Arial Narrow"/>
      <family val="2"/>
    </font>
    <font>
      <b/>
      <sz val="10"/>
      <color theme="0"/>
      <name val="Arial Narrow"/>
      <family val="2"/>
    </font>
    <font>
      <b/>
      <u/>
      <sz val="10"/>
      <color theme="1"/>
      <name val="Arial Narrow"/>
      <family val="2"/>
    </font>
  </fonts>
  <fills count="24">
    <fill>
      <patternFill patternType="none"/>
    </fill>
    <fill>
      <patternFill patternType="gray125"/>
    </fill>
    <fill>
      <patternFill patternType="solid">
        <fgColor theme="8" tint="0.59999389629810485"/>
        <bgColor indexed="64"/>
      </patternFill>
    </fill>
    <fill>
      <patternFill patternType="solid">
        <fgColor theme="0" tint="-0.249977111117893"/>
        <bgColor indexed="64"/>
      </patternFill>
    </fill>
    <fill>
      <patternFill patternType="solid">
        <fgColor rgb="FFFFFF99"/>
        <bgColor indexed="64"/>
      </patternFill>
    </fill>
    <fill>
      <patternFill patternType="solid">
        <fgColor theme="6" tint="0.39997558519241921"/>
        <bgColor indexed="64"/>
      </patternFill>
    </fill>
    <fill>
      <patternFill patternType="solid">
        <fgColor rgb="FFFFCC99"/>
      </patternFill>
    </fill>
    <fill>
      <patternFill patternType="solid">
        <fgColor theme="8"/>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C7CE"/>
      </patternFill>
    </fill>
    <fill>
      <patternFill patternType="solid">
        <fgColor rgb="FFECEDED"/>
        <bgColor indexed="64"/>
      </patternFill>
    </fill>
    <fill>
      <patternFill patternType="solid">
        <fgColor theme="9" tint="0.79998168889431442"/>
        <bgColor indexed="64"/>
      </patternFill>
    </fill>
    <fill>
      <patternFill patternType="solid">
        <fgColor theme="4"/>
        <bgColor indexed="64"/>
      </patternFill>
    </fill>
    <fill>
      <patternFill patternType="solid">
        <fgColor rgb="FF00B050"/>
        <bgColor indexed="64"/>
      </patternFill>
    </fill>
    <fill>
      <patternFill patternType="solid">
        <fgColor rgb="FFFF0000"/>
        <bgColor indexed="64"/>
      </patternFill>
    </fill>
    <fill>
      <patternFill patternType="solid">
        <fgColor rgb="FFFF66FF"/>
        <bgColor indexed="64"/>
      </patternFill>
    </fill>
    <fill>
      <patternFill patternType="solid">
        <fgColor theme="0"/>
        <bgColor indexed="64"/>
      </patternFill>
    </fill>
    <fill>
      <patternFill patternType="solid">
        <fgColor rgb="FF0000FF"/>
        <bgColor indexed="64"/>
      </patternFill>
    </fill>
    <fill>
      <patternFill patternType="solid">
        <fgColor theme="9" tint="0.59999389629810485"/>
        <bgColor indexed="64"/>
      </patternFill>
    </fill>
    <fill>
      <patternFill patternType="solid">
        <fgColor rgb="FF008080"/>
        <bgColor indexed="64"/>
      </patternFill>
    </fill>
    <fill>
      <patternFill patternType="solid">
        <fgColor theme="5"/>
        <bgColor indexed="64"/>
      </patternFill>
    </fill>
    <fill>
      <patternFill patternType="solid">
        <fgColor rgb="FF92D050"/>
        <bgColor indexed="64"/>
      </patternFill>
    </fill>
    <fill>
      <patternFill patternType="solid">
        <fgColor rgb="FFC00000"/>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rgb="FF7F7F7F"/>
      </top>
      <bottom style="thin">
        <color rgb="FF7F7F7F"/>
      </bottom>
      <diagonal/>
    </border>
    <border>
      <left/>
      <right/>
      <top style="thin">
        <color rgb="FF7F7F7F"/>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double">
        <color auto="1"/>
      </bottom>
      <diagonal/>
    </border>
    <border>
      <left style="medium">
        <color indexed="64"/>
      </left>
      <right style="medium">
        <color indexed="64"/>
      </right>
      <top style="thin">
        <color indexed="64"/>
      </top>
      <bottom style="medium">
        <color indexed="64"/>
      </bottom>
      <diagonal/>
    </border>
    <border>
      <left/>
      <right/>
      <top/>
      <bottom style="double">
        <color auto="1"/>
      </bottom>
      <diagonal/>
    </border>
    <border>
      <left/>
      <right style="medium">
        <color indexed="64"/>
      </right>
      <top style="medium">
        <color indexed="64"/>
      </top>
      <bottom style="thin">
        <color indexed="64"/>
      </bottom>
      <diagonal/>
    </border>
    <border>
      <left style="medium">
        <color indexed="64"/>
      </left>
      <right style="medium">
        <color auto="1"/>
      </right>
      <top style="thin">
        <color indexed="64"/>
      </top>
      <bottom/>
      <diagonal/>
    </border>
  </borders>
  <cellStyleXfs count="5">
    <xf numFmtId="0" fontId="0" fillId="0" borderId="0"/>
    <xf numFmtId="0" fontId="2" fillId="6" borderId="45" applyNumberFormat="0" applyAlignment="0" applyProtection="0"/>
    <xf numFmtId="9" fontId="11" fillId="0" borderId="0" applyFont="0" applyFill="0" applyBorder="0" applyAlignment="0" applyProtection="0"/>
    <xf numFmtId="0" fontId="16" fillId="10" borderId="0" applyNumberFormat="0" applyBorder="0" applyAlignment="0" applyProtection="0"/>
    <xf numFmtId="44" fontId="11" fillId="0" borderId="0" applyFont="0" applyFill="0" applyBorder="0" applyAlignment="0" applyProtection="0"/>
  </cellStyleXfs>
  <cellXfs count="400">
    <xf numFmtId="0" fontId="0" fillId="0" borderId="0" xfId="0"/>
    <xf numFmtId="0" fontId="0" fillId="0" borderId="0" xfId="0" applyAlignment="1">
      <alignment wrapText="1"/>
    </xf>
    <xf numFmtId="0" fontId="0" fillId="0" borderId="0" xfId="0" applyAlignment="1">
      <alignment horizontal="center" vertical="center" wrapText="1"/>
    </xf>
    <xf numFmtId="0" fontId="1" fillId="0" borderId="1" xfId="0" applyFont="1" applyBorder="1"/>
    <xf numFmtId="0" fontId="1" fillId="2" borderId="1" xfId="0" applyFont="1" applyFill="1" applyBorder="1" applyAlignment="1">
      <alignment horizontal="center" vertical="center" wrapText="1"/>
    </xf>
    <xf numFmtId="0" fontId="0" fillId="0" borderId="6" xfId="0" applyBorder="1"/>
    <xf numFmtId="0" fontId="0" fillId="0" borderId="7" xfId="0" applyBorder="1"/>
    <xf numFmtId="0" fontId="0" fillId="0" borderId="8" xfId="0" applyBorder="1"/>
    <xf numFmtId="0" fontId="1" fillId="0" borderId="5" xfId="0" applyFont="1" applyBorder="1"/>
    <xf numFmtId="0" fontId="0" fillId="0" borderId="9" xfId="0" applyBorder="1"/>
    <xf numFmtId="0" fontId="0" fillId="0" borderId="11" xfId="0" applyBorder="1"/>
    <xf numFmtId="0" fontId="0" fillId="0" borderId="15" xfId="0" applyBorder="1"/>
    <xf numFmtId="0" fontId="0" fillId="0" borderId="3" xfId="0" applyBorder="1"/>
    <xf numFmtId="0" fontId="0" fillId="0" borderId="16" xfId="0" applyBorder="1"/>
    <xf numFmtId="0" fontId="0" fillId="0" borderId="19" xfId="0" applyBorder="1"/>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0" fillId="0" borderId="7" xfId="0" applyBorder="1" applyAlignment="1">
      <alignment wrapText="1"/>
    </xf>
    <xf numFmtId="0" fontId="0" fillId="0" borderId="7" xfId="0" applyBorder="1" applyAlignment="1">
      <alignment vertical="center" wrapText="1"/>
    </xf>
    <xf numFmtId="0" fontId="0" fillId="0" borderId="7" xfId="0" applyFill="1" applyBorder="1"/>
    <xf numFmtId="0" fontId="0" fillId="4" borderId="7" xfId="0" applyFill="1" applyBorder="1" applyAlignment="1">
      <alignment vertical="center" wrapText="1"/>
    </xf>
    <xf numFmtId="0" fontId="0" fillId="4" borderId="6" xfId="0" applyFill="1" applyBorder="1"/>
    <xf numFmtId="0" fontId="0" fillId="4" borderId="7" xfId="0" applyFill="1" applyBorder="1"/>
    <xf numFmtId="0" fontId="0" fillId="0" borderId="6" xfId="0" applyBorder="1" applyAlignment="1">
      <alignment wrapText="1"/>
    </xf>
    <xf numFmtId="0" fontId="0" fillId="4" borderId="11" xfId="0" applyFill="1" applyBorder="1"/>
    <xf numFmtId="0" fontId="0" fillId="0" borderId="0" xfId="0" applyBorder="1"/>
    <xf numFmtId="0" fontId="0" fillId="0" borderId="11" xfId="0" applyBorder="1" applyAlignment="1">
      <alignment wrapText="1"/>
    </xf>
    <xf numFmtId="0" fontId="0" fillId="0" borderId="11" xfId="0" applyBorder="1" applyAlignment="1">
      <alignment vertical="center" wrapText="1"/>
    </xf>
    <xf numFmtId="0" fontId="0" fillId="4" borderId="27" xfId="0" applyFill="1" applyBorder="1"/>
    <xf numFmtId="0" fontId="0" fillId="4" borderId="25" xfId="0" applyFill="1" applyBorder="1"/>
    <xf numFmtId="0" fontId="0" fillId="0" borderId="29" xfId="0" applyBorder="1"/>
    <xf numFmtId="0" fontId="0" fillId="0" borderId="30" xfId="0" applyBorder="1"/>
    <xf numFmtId="0" fontId="0" fillId="4" borderId="14" xfId="0" applyFill="1" applyBorder="1"/>
    <xf numFmtId="0" fontId="0" fillId="4" borderId="12" xfId="0" applyFill="1" applyBorder="1"/>
    <xf numFmtId="0" fontId="0" fillId="4" borderId="10" xfId="0" applyFill="1" applyBorder="1"/>
    <xf numFmtId="0" fontId="0" fillId="0" borderId="27" xfId="0" applyFill="1" applyBorder="1"/>
    <xf numFmtId="0" fontId="0" fillId="0" borderId="25" xfId="0" applyFill="1" applyBorder="1"/>
    <xf numFmtId="0" fontId="0" fillId="0" borderId="33" xfId="0" applyBorder="1"/>
    <xf numFmtId="0" fontId="0" fillId="4" borderId="8" xfId="0" applyFill="1" applyBorder="1"/>
    <xf numFmtId="0" fontId="0" fillId="0" borderId="8" xfId="0" applyFill="1" applyBorder="1"/>
    <xf numFmtId="0" fontId="0" fillId="5" borderId="18" xfId="0" applyFill="1" applyBorder="1"/>
    <xf numFmtId="0" fontId="0" fillId="3" borderId="34" xfId="0" applyFill="1" applyBorder="1"/>
    <xf numFmtId="0" fontId="0" fillId="0" borderId="28" xfId="0" applyBorder="1"/>
    <xf numFmtId="0" fontId="1" fillId="2" borderId="28" xfId="0" applyFont="1" applyFill="1" applyBorder="1" applyAlignment="1">
      <alignment horizontal="center"/>
    </xf>
    <xf numFmtId="0" fontId="1" fillId="2" borderId="11" xfId="0" applyFont="1" applyFill="1" applyBorder="1" applyAlignment="1">
      <alignment horizontal="center"/>
    </xf>
    <xf numFmtId="0" fontId="1" fillId="2" borderId="11" xfId="0" applyFont="1" applyFill="1" applyBorder="1" applyAlignment="1">
      <alignment horizontal="center" vertical="center" wrapText="1"/>
    </xf>
    <xf numFmtId="0" fontId="0" fillId="4" borderId="36" xfId="0" applyFill="1" applyBorder="1"/>
    <xf numFmtId="0" fontId="0" fillId="0" borderId="36" xfId="0" applyFill="1" applyBorder="1"/>
    <xf numFmtId="0" fontId="0" fillId="0" borderId="37" xfId="0" applyBorder="1"/>
    <xf numFmtId="0" fontId="1" fillId="2" borderId="0" xfId="0" applyFont="1" applyFill="1" applyBorder="1" applyAlignment="1">
      <alignment horizontal="center"/>
    </xf>
    <xf numFmtId="0" fontId="1" fillId="2" borderId="15" xfId="0" applyFont="1" applyFill="1" applyBorder="1" applyAlignment="1">
      <alignment horizontal="center"/>
    </xf>
    <xf numFmtId="0" fontId="0" fillId="0" borderId="36" xfId="0" applyBorder="1"/>
    <xf numFmtId="0" fontId="0" fillId="4" borderId="39" xfId="0" applyFill="1" applyBorder="1"/>
    <xf numFmtId="0" fontId="0" fillId="4" borderId="40" xfId="0" applyFill="1" applyBorder="1"/>
    <xf numFmtId="0" fontId="0" fillId="0" borderId="26" xfId="0" applyBorder="1"/>
    <xf numFmtId="0" fontId="0" fillId="0" borderId="38" xfId="0" applyBorder="1"/>
    <xf numFmtId="0" fontId="1" fillId="2" borderId="35" xfId="0" applyFont="1" applyFill="1" applyBorder="1" applyAlignment="1">
      <alignment horizontal="center" vertical="center"/>
    </xf>
    <xf numFmtId="0" fontId="0" fillId="0" borderId="8" xfId="0" applyBorder="1" applyAlignment="1">
      <alignment wrapText="1"/>
    </xf>
    <xf numFmtId="0" fontId="1" fillId="2" borderId="8" xfId="0" applyFont="1" applyFill="1" applyBorder="1" applyAlignment="1">
      <alignment horizontal="center" vertical="center" wrapText="1"/>
    </xf>
    <xf numFmtId="0" fontId="1" fillId="2" borderId="41" xfId="0" applyFont="1" applyFill="1" applyBorder="1" applyAlignment="1">
      <alignment horizontal="center"/>
    </xf>
    <xf numFmtId="0" fontId="1" fillId="2" borderId="42" xfId="0" applyFont="1" applyFill="1" applyBorder="1" applyAlignment="1">
      <alignment horizontal="center" vertical="center" wrapText="1"/>
    </xf>
    <xf numFmtId="0" fontId="1" fillId="2" borderId="38" xfId="0" applyFont="1" applyFill="1" applyBorder="1" applyAlignment="1">
      <alignment horizontal="center"/>
    </xf>
    <xf numFmtId="0" fontId="1" fillId="2" borderId="35" xfId="0" applyFont="1" applyFill="1" applyBorder="1" applyAlignment="1">
      <alignment horizontal="center"/>
    </xf>
    <xf numFmtId="0" fontId="1" fillId="2" borderId="35" xfId="0" applyFont="1" applyFill="1" applyBorder="1" applyAlignment="1">
      <alignment horizontal="center" vertical="center" wrapText="1"/>
    </xf>
    <xf numFmtId="0" fontId="0" fillId="0" borderId="35" xfId="0" applyBorder="1"/>
    <xf numFmtId="0" fontId="0" fillId="0" borderId="43" xfId="0" applyBorder="1"/>
    <xf numFmtId="0" fontId="0" fillId="4" borderId="33" xfId="0" applyFill="1" applyBorder="1"/>
    <xf numFmtId="0" fontId="0" fillId="0" borderId="33" xfId="0" applyFill="1" applyBorder="1"/>
    <xf numFmtId="0" fontId="0" fillId="4" borderId="13" xfId="0" applyFill="1" applyBorder="1"/>
    <xf numFmtId="0" fontId="0" fillId="0" borderId="11" xfId="0" applyFill="1" applyBorder="1"/>
    <xf numFmtId="0" fontId="0" fillId="0" borderId="17" xfId="0" applyBorder="1"/>
    <xf numFmtId="0" fontId="0" fillId="0" borderId="44" xfId="0" applyBorder="1"/>
    <xf numFmtId="0" fontId="0" fillId="0" borderId="21" xfId="0" applyBorder="1"/>
    <xf numFmtId="0" fontId="0" fillId="5" borderId="19" xfId="0" applyFill="1" applyBorder="1"/>
    <xf numFmtId="0" fontId="0" fillId="0" borderId="0" xfId="0" applyFill="1"/>
    <xf numFmtId="0" fontId="0" fillId="0" borderId="0" xfId="0" applyFill="1" applyBorder="1"/>
    <xf numFmtId="0" fontId="0" fillId="0" borderId="0" xfId="0" applyFill="1" applyAlignment="1">
      <alignment wrapText="1"/>
    </xf>
    <xf numFmtId="0" fontId="0" fillId="0" borderId="0" xfId="0" applyFill="1" applyAlignment="1">
      <alignment horizontal="center" vertical="center"/>
    </xf>
    <xf numFmtId="0" fontId="1" fillId="0" borderId="0" xfId="0" applyFont="1" applyBorder="1"/>
    <xf numFmtId="0" fontId="0" fillId="0" borderId="0" xfId="0" applyFill="1" applyBorder="1" applyAlignment="1">
      <alignment wrapText="1"/>
    </xf>
    <xf numFmtId="0" fontId="0" fillId="0" borderId="0" xfId="0" applyFill="1" applyBorder="1" applyAlignment="1">
      <alignment horizontal="center" vertical="center" wrapText="1"/>
    </xf>
    <xf numFmtId="0" fontId="6" fillId="0" borderId="1" xfId="0" quotePrefix="1" applyFont="1" applyFill="1" applyBorder="1" applyAlignment="1">
      <alignment horizontal="center" vertical="top" wrapText="1"/>
    </xf>
    <xf numFmtId="1" fontId="8" fillId="8" borderId="51" xfId="0" quotePrefix="1" applyNumberFormat="1" applyFont="1" applyFill="1" applyBorder="1" applyAlignment="1">
      <alignment horizontal="center" vertical="top"/>
    </xf>
    <xf numFmtId="0" fontId="12" fillId="0" borderId="0" xfId="0" applyFont="1" applyAlignment="1">
      <alignment horizontal="center" vertical="center"/>
    </xf>
    <xf numFmtId="0" fontId="12" fillId="9" borderId="0" xfId="0" applyFont="1" applyFill="1" applyAlignment="1">
      <alignment horizontal="center" vertical="center"/>
    </xf>
    <xf numFmtId="9" fontId="5" fillId="3" borderId="53" xfId="2" applyFont="1" applyFill="1" applyBorder="1" applyAlignment="1">
      <alignment horizontal="center" vertical="center" wrapText="1"/>
    </xf>
    <xf numFmtId="9" fontId="5" fillId="3" borderId="7" xfId="2" applyFont="1" applyFill="1" applyBorder="1" applyAlignment="1">
      <alignment horizontal="center" vertical="center" wrapText="1"/>
    </xf>
    <xf numFmtId="9" fontId="4" fillId="3" borderId="52" xfId="2" applyFont="1" applyFill="1" applyBorder="1" applyAlignment="1">
      <alignment horizontal="center" vertical="center" wrapText="1"/>
    </xf>
    <xf numFmtId="0" fontId="13" fillId="0" borderId="1" xfId="0" quotePrefix="1" applyFont="1" applyFill="1" applyBorder="1" applyAlignment="1">
      <alignment horizontal="center" vertical="top" wrapText="1"/>
    </xf>
    <xf numFmtId="0" fontId="2" fillId="6" borderId="56" xfId="1" applyBorder="1" applyAlignment="1">
      <alignment horizontal="center" vertical="center" wrapText="1"/>
    </xf>
    <xf numFmtId="0" fontId="6" fillId="0" borderId="46" xfId="0" quotePrefix="1" applyFont="1" applyFill="1" applyBorder="1" applyAlignment="1">
      <alignment horizontal="center" vertical="top" wrapText="1"/>
    </xf>
    <xf numFmtId="0" fontId="6" fillId="0" borderId="35" xfId="0" quotePrefix="1" applyFont="1" applyFill="1" applyBorder="1" applyAlignment="1">
      <alignment horizontal="center" vertical="top" wrapText="1"/>
    </xf>
    <xf numFmtId="0" fontId="0" fillId="0" borderId="40" xfId="0" applyFill="1" applyBorder="1" applyAlignment="1">
      <alignment horizontal="center" vertical="center"/>
    </xf>
    <xf numFmtId="0" fontId="15" fillId="0" borderId="58" xfId="0" applyFont="1" applyBorder="1"/>
    <xf numFmtId="0" fontId="0" fillId="0" borderId="58" xfId="0" applyFill="1" applyBorder="1" applyAlignment="1">
      <alignment horizontal="left" vertical="center" wrapText="1"/>
    </xf>
    <xf numFmtId="0" fontId="2" fillId="6" borderId="59" xfId="1" applyBorder="1" applyAlignment="1">
      <alignment horizontal="center" vertical="center" wrapText="1"/>
    </xf>
    <xf numFmtId="0" fontId="2" fillId="6" borderId="59" xfId="1" applyBorder="1" applyAlignment="1">
      <alignment vertical="center" wrapText="1"/>
    </xf>
    <xf numFmtId="0" fontId="2" fillId="6" borderId="59" xfId="1" applyBorder="1" applyAlignment="1">
      <alignment horizontal="center" vertical="center"/>
    </xf>
    <xf numFmtId="0" fontId="0" fillId="0" borderId="54" xfId="0" applyFill="1" applyBorder="1" applyAlignment="1">
      <alignment horizontal="center" vertical="center"/>
    </xf>
    <xf numFmtId="0" fontId="0" fillId="0" borderId="0" xfId="0" applyFill="1" applyAlignment="1">
      <alignment horizontal="left" vertical="center"/>
    </xf>
    <xf numFmtId="0" fontId="0" fillId="0" borderId="0" xfId="0" applyFill="1" applyAlignment="1">
      <alignment vertical="center"/>
    </xf>
    <xf numFmtId="0" fontId="6" fillId="0" borderId="4" xfId="0" quotePrefix="1" applyFont="1" applyFill="1" applyBorder="1" applyAlignment="1">
      <alignment horizontal="center" vertical="top" wrapText="1"/>
    </xf>
    <xf numFmtId="0" fontId="4" fillId="2" borderId="1" xfId="0" applyFont="1" applyFill="1" applyBorder="1" applyAlignment="1">
      <alignment horizontal="center" vertical="center" wrapText="1"/>
    </xf>
    <xf numFmtId="0" fontId="10" fillId="6" borderId="1" xfId="1" applyFont="1" applyBorder="1" applyAlignment="1">
      <alignment horizontal="center" vertical="center" wrapText="1"/>
    </xf>
    <xf numFmtId="0" fontId="16" fillId="9" borderId="35" xfId="3" quotePrefix="1" applyFill="1" applyBorder="1" applyAlignment="1">
      <alignment horizontal="center" vertical="top" wrapText="1"/>
    </xf>
    <xf numFmtId="0" fontId="2" fillId="9" borderId="59" xfId="1" applyFill="1" applyBorder="1" applyAlignment="1">
      <alignment horizontal="center" vertical="center" wrapText="1"/>
    </xf>
    <xf numFmtId="0" fontId="19" fillId="0" borderId="0" xfId="0" applyFont="1" applyFill="1"/>
    <xf numFmtId="0" fontId="19" fillId="0" borderId="0" xfId="0" applyFont="1"/>
    <xf numFmtId="0" fontId="21" fillId="0" borderId="0" xfId="0" applyFont="1" applyBorder="1"/>
    <xf numFmtId="0" fontId="22" fillId="0" borderId="0" xfId="0" applyFont="1"/>
    <xf numFmtId="0" fontId="23" fillId="0" borderId="41" xfId="0" applyFont="1" applyFill="1" applyBorder="1"/>
    <xf numFmtId="0" fontId="23" fillId="0" borderId="0" xfId="0" applyFont="1" applyFill="1" applyBorder="1"/>
    <xf numFmtId="0" fontId="23"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5" fillId="6" borderId="55" xfId="1" applyFont="1" applyBorder="1" applyAlignment="1">
      <alignment horizontal="center" vertical="center" wrapText="1"/>
    </xf>
    <xf numFmtId="0" fontId="19" fillId="0" borderId="57" xfId="0" applyFont="1" applyBorder="1"/>
    <xf numFmtId="0" fontId="26" fillId="2" borderId="34"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9" fillId="0" borderId="1" xfId="1" applyFont="1" applyFill="1" applyBorder="1" applyAlignment="1">
      <alignment horizontal="center" vertical="center" wrapText="1"/>
    </xf>
    <xf numFmtId="0" fontId="25" fillId="6" borderId="56" xfId="1" applyFont="1" applyBorder="1" applyAlignment="1">
      <alignment horizontal="center" vertical="center" wrapText="1"/>
    </xf>
    <xf numFmtId="0" fontId="30" fillId="0" borderId="58" xfId="0" applyFont="1" applyBorder="1"/>
    <xf numFmtId="0" fontId="31" fillId="3" borderId="42" xfId="0" applyFont="1" applyFill="1" applyBorder="1" applyAlignment="1">
      <alignment horizontal="center" vertical="center" wrapText="1"/>
    </xf>
    <xf numFmtId="9" fontId="23" fillId="0" borderId="1" xfId="2" applyFont="1" applyFill="1" applyBorder="1" applyAlignment="1">
      <alignment horizontal="center" vertical="center" wrapText="1"/>
    </xf>
    <xf numFmtId="0" fontId="32" fillId="0" borderId="1" xfId="0" quotePrefix="1" applyFont="1" applyFill="1" applyBorder="1" applyAlignment="1">
      <alignment horizontal="center" vertical="top"/>
    </xf>
    <xf numFmtId="0" fontId="33" fillId="0" borderId="1" xfId="0" quotePrefix="1" applyFont="1" applyFill="1" applyBorder="1" applyAlignment="1">
      <alignment horizontal="center" vertical="top" wrapText="1"/>
    </xf>
    <xf numFmtId="0" fontId="33" fillId="0" borderId="4" xfId="0" quotePrefix="1" applyFont="1" applyFill="1" applyBorder="1" applyAlignment="1">
      <alignment horizontal="center" vertical="top" wrapText="1"/>
    </xf>
    <xf numFmtId="0" fontId="32" fillId="0" borderId="4" xfId="0" quotePrefix="1" applyFont="1" applyFill="1" applyBorder="1" applyAlignment="1">
      <alignment horizontal="center" vertical="top"/>
    </xf>
    <xf numFmtId="0" fontId="34" fillId="0" borderId="49" xfId="0" quotePrefix="1" applyFont="1" applyFill="1" applyBorder="1" applyAlignment="1">
      <alignment horizontal="center" vertical="top" wrapText="1"/>
    </xf>
    <xf numFmtId="0" fontId="19" fillId="0" borderId="58" xfId="0" applyFont="1" applyFill="1" applyBorder="1" applyAlignment="1">
      <alignment horizontal="left" vertical="center" wrapText="1"/>
    </xf>
    <xf numFmtId="0" fontId="19" fillId="0" borderId="0" xfId="0" applyFont="1" applyFill="1" applyAlignment="1">
      <alignment horizontal="left" vertical="center"/>
    </xf>
    <xf numFmtId="0" fontId="19" fillId="0" borderId="0" xfId="0" applyFont="1" applyFill="1" applyAlignment="1">
      <alignment horizontal="center" vertical="center"/>
    </xf>
    <xf numFmtId="0" fontId="35" fillId="9" borderId="28" xfId="3" quotePrefix="1" applyFont="1" applyFill="1" applyBorder="1" applyAlignment="1">
      <alignment horizontal="center" vertical="top" wrapText="1"/>
    </xf>
    <xf numFmtId="0" fontId="19" fillId="0" borderId="0" xfId="0" applyFont="1" applyFill="1" applyAlignment="1">
      <alignment vertical="center"/>
    </xf>
    <xf numFmtId="0" fontId="33" fillId="0" borderId="35" xfId="0" quotePrefix="1" applyFont="1" applyFill="1" applyBorder="1" applyAlignment="1">
      <alignment horizontal="center" vertical="top" wrapText="1"/>
    </xf>
    <xf numFmtId="0" fontId="34" fillId="0" borderId="28" xfId="0" quotePrefix="1" applyFont="1" applyFill="1" applyBorder="1" applyAlignment="1">
      <alignment horizontal="center" vertical="top" wrapText="1"/>
    </xf>
    <xf numFmtId="0" fontId="36" fillId="0" borderId="1" xfId="0" quotePrefix="1" applyFont="1" applyFill="1" applyBorder="1" applyAlignment="1">
      <alignment horizontal="center" vertical="top"/>
    </xf>
    <xf numFmtId="0" fontId="37" fillId="0" borderId="1" xfId="0" quotePrefix="1" applyFont="1" applyFill="1" applyBorder="1" applyAlignment="1">
      <alignment horizontal="center" vertical="top" wrapText="1"/>
    </xf>
    <xf numFmtId="0" fontId="36" fillId="0" borderId="6" xfId="0" quotePrefix="1" applyFont="1" applyFill="1" applyBorder="1" applyAlignment="1">
      <alignment horizontal="center" vertical="top"/>
    </xf>
    <xf numFmtId="0" fontId="37" fillId="0" borderId="35" xfId="0" quotePrefix="1" applyFont="1" applyFill="1" applyBorder="1" applyAlignment="1">
      <alignment horizontal="center" vertical="top" wrapText="1"/>
    </xf>
    <xf numFmtId="0" fontId="19" fillId="0" borderId="0" xfId="0" applyFont="1" applyAlignment="1">
      <alignment vertical="center" wrapText="1"/>
    </xf>
    <xf numFmtId="0" fontId="25" fillId="6" borderId="59" xfId="1" applyFont="1" applyBorder="1" applyAlignment="1">
      <alignment horizontal="center" vertical="center" wrapText="1"/>
    </xf>
    <xf numFmtId="0" fontId="38" fillId="0" borderId="6" xfId="0" quotePrefix="1" applyFont="1" applyFill="1" applyBorder="1" applyAlignment="1">
      <alignment horizontal="center" vertical="top" wrapText="1"/>
    </xf>
    <xf numFmtId="0" fontId="25" fillId="9" borderId="59" xfId="1" applyFont="1" applyFill="1" applyBorder="1" applyAlignment="1">
      <alignment horizontal="center" vertical="center" wrapText="1"/>
    </xf>
    <xf numFmtId="0" fontId="37" fillId="9" borderId="1" xfId="0" quotePrefix="1" applyFont="1" applyFill="1" applyBorder="1" applyAlignment="1">
      <alignment horizontal="center" vertical="top" wrapText="1"/>
    </xf>
    <xf numFmtId="0" fontId="25" fillId="6" borderId="59" xfId="1" applyFont="1" applyBorder="1" applyAlignment="1">
      <alignment vertical="center" wrapText="1"/>
    </xf>
    <xf numFmtId="0" fontId="39" fillId="3" borderId="47" xfId="0" applyFont="1" applyFill="1" applyBorder="1" applyAlignment="1">
      <alignment horizontal="center" vertical="center" wrapText="1"/>
    </xf>
    <xf numFmtId="0" fontId="40" fillId="0" borderId="2" xfId="0" quotePrefix="1" applyFont="1" applyFill="1" applyBorder="1" applyAlignment="1">
      <alignment horizontal="center" vertical="top"/>
    </xf>
    <xf numFmtId="0" fontId="34" fillId="0" borderId="2" xfId="0" quotePrefix="1" applyFont="1" applyFill="1" applyBorder="1" applyAlignment="1">
      <alignment horizontal="center" vertical="top" wrapText="1"/>
    </xf>
    <xf numFmtId="0" fontId="36" fillId="0" borderId="2" xfId="0" quotePrefix="1" applyFont="1" applyFill="1" applyBorder="1" applyAlignment="1">
      <alignment horizontal="center" vertical="top"/>
    </xf>
    <xf numFmtId="0" fontId="37" fillId="0" borderId="2" xfId="0" quotePrefix="1" applyFont="1" applyFill="1" applyBorder="1" applyAlignment="1">
      <alignment horizontal="center" vertical="top" wrapText="1"/>
    </xf>
    <xf numFmtId="0" fontId="36" fillId="0" borderId="48" xfId="0" quotePrefix="1" applyFont="1" applyFill="1" applyBorder="1" applyAlignment="1">
      <alignment horizontal="center" vertical="top"/>
    </xf>
    <xf numFmtId="0" fontId="25" fillId="6" borderId="59" xfId="1" applyFont="1" applyBorder="1" applyAlignment="1">
      <alignment horizontal="center" vertical="center"/>
    </xf>
    <xf numFmtId="0" fontId="41" fillId="3" borderId="34" xfId="0" applyFont="1" applyFill="1" applyBorder="1" applyAlignment="1">
      <alignment horizontal="center" vertical="center" wrapText="1"/>
    </xf>
    <xf numFmtId="0" fontId="24" fillId="11" borderId="17" xfId="0" applyFont="1" applyFill="1" applyBorder="1" applyAlignment="1">
      <alignment horizontal="center" vertical="center" wrapText="1"/>
    </xf>
    <xf numFmtId="9" fontId="24" fillId="11" borderId="18" xfId="2" applyFont="1" applyFill="1" applyBorder="1" applyAlignment="1">
      <alignment horizontal="center" vertical="center" wrapText="1"/>
    </xf>
    <xf numFmtId="1" fontId="42" fillId="11" borderId="18" xfId="0" quotePrefix="1" applyNumberFormat="1" applyFont="1" applyFill="1" applyBorder="1" applyAlignment="1">
      <alignment horizontal="center" vertical="top"/>
    </xf>
    <xf numFmtId="0" fontId="42" fillId="11" borderId="18" xfId="0" quotePrefix="1" applyFont="1" applyFill="1" applyBorder="1" applyAlignment="1">
      <alignment horizontal="center" vertical="top"/>
    </xf>
    <xf numFmtId="1" fontId="42" fillId="11" borderId="19" xfId="0" quotePrefix="1" applyNumberFormat="1" applyFont="1" applyFill="1" applyBorder="1" applyAlignment="1">
      <alignment horizontal="center" vertical="top"/>
    </xf>
    <xf numFmtId="0" fontId="19" fillId="0" borderId="14" xfId="0" applyFont="1" applyFill="1" applyBorder="1" applyAlignment="1">
      <alignment horizontal="center" vertical="center"/>
    </xf>
    <xf numFmtId="0" fontId="19" fillId="0" borderId="54" xfId="0" applyFont="1" applyFill="1" applyBorder="1" applyAlignment="1">
      <alignment horizontal="center" vertical="center"/>
    </xf>
    <xf numFmtId="0" fontId="19" fillId="0" borderId="0" xfId="0" applyFont="1" applyFill="1" applyBorder="1"/>
    <xf numFmtId="0" fontId="19" fillId="0" borderId="0" xfId="0" applyFont="1" applyBorder="1"/>
    <xf numFmtId="0" fontId="21" fillId="0" borderId="8" xfId="0" applyFont="1" applyFill="1" applyBorder="1" applyAlignment="1">
      <alignment horizontal="center" vertical="center" wrapText="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19" fillId="0" borderId="1" xfId="0" applyFont="1" applyFill="1" applyBorder="1" applyAlignment="1"/>
    <xf numFmtId="0" fontId="21" fillId="0" borderId="9" xfId="0" applyFont="1" applyFill="1" applyBorder="1" applyAlignment="1">
      <alignment horizontal="center" vertical="center" wrapText="1"/>
    </xf>
    <xf numFmtId="0" fontId="19" fillId="0" borderId="0" xfId="0" applyFont="1" applyFill="1" applyBorder="1" applyAlignment="1">
      <alignment wrapText="1"/>
    </xf>
    <xf numFmtId="0" fontId="19" fillId="0" borderId="0" xfId="0" applyFont="1" applyFill="1" applyAlignment="1">
      <alignment wrapText="1"/>
    </xf>
    <xf numFmtId="0" fontId="32" fillId="0" borderId="13" xfId="0" quotePrefix="1" applyFont="1" applyFill="1" applyBorder="1" applyAlignment="1">
      <alignment horizontal="center" vertical="top"/>
    </xf>
    <xf numFmtId="0" fontId="32" fillId="0" borderId="48" xfId="0" quotePrefix="1" applyFont="1" applyFill="1" applyBorder="1" applyAlignment="1">
      <alignment horizontal="center" vertical="top"/>
    </xf>
    <xf numFmtId="0" fontId="32" fillId="0" borderId="48" xfId="0" quotePrefix="1" applyFont="1" applyFill="1" applyBorder="1" applyAlignment="1">
      <alignment horizontal="center" vertical="center"/>
    </xf>
    <xf numFmtId="0" fontId="43" fillId="0" borderId="48" xfId="0" quotePrefix="1" applyFont="1" applyFill="1" applyBorder="1" applyAlignment="1">
      <alignment horizontal="center" vertical="top"/>
    </xf>
    <xf numFmtId="0" fontId="36" fillId="0" borderId="10" xfId="0" quotePrefix="1" applyFont="1" applyFill="1" applyBorder="1" applyAlignment="1">
      <alignment horizontal="center" vertical="top"/>
    </xf>
    <xf numFmtId="0" fontId="44" fillId="0" borderId="0" xfId="0" applyFont="1" applyAlignment="1">
      <alignment horizontal="center" vertical="center"/>
    </xf>
    <xf numFmtId="0" fontId="44" fillId="9" borderId="0" xfId="0" applyFont="1" applyFill="1" applyAlignment="1">
      <alignment horizontal="center" vertical="center"/>
    </xf>
    <xf numFmtId="0" fontId="19" fillId="0" borderId="0" xfId="0" applyFont="1" applyFill="1" applyBorder="1" applyAlignment="1">
      <alignment horizontal="center" vertical="center" wrapText="1"/>
    </xf>
    <xf numFmtId="0" fontId="36" fillId="0" borderId="1" xfId="0" quotePrefix="1" applyFont="1" applyFill="1" applyBorder="1" applyAlignment="1">
      <alignment horizontal="center" vertical="center"/>
    </xf>
    <xf numFmtId="0" fontId="45" fillId="0" borderId="0" xfId="0" applyFont="1" applyAlignment="1">
      <alignment horizontal="center" vertical="center"/>
    </xf>
    <xf numFmtId="0" fontId="0" fillId="0" borderId="0" xfId="0" applyAlignment="1">
      <alignment horizontal="left" vertical="center" wrapText="1"/>
    </xf>
    <xf numFmtId="0" fontId="46" fillId="0" borderId="0" xfId="0" applyFont="1" applyAlignment="1">
      <alignment horizontal="center" vertical="center" wrapText="1"/>
    </xf>
    <xf numFmtId="0" fontId="47" fillId="0" borderId="1" xfId="0" applyFont="1" applyBorder="1" applyAlignment="1">
      <alignment horizontal="left" vertical="center" wrapText="1"/>
    </xf>
    <xf numFmtId="0" fontId="47" fillId="0" borderId="3" xfId="0" applyFont="1" applyFill="1" applyBorder="1" applyAlignment="1">
      <alignment horizontal="left" vertical="center" wrapText="1"/>
    </xf>
    <xf numFmtId="0" fontId="47" fillId="0" borderId="5" xfId="0" applyFont="1" applyBorder="1" applyAlignment="1">
      <alignment vertical="center" wrapText="1"/>
    </xf>
    <xf numFmtId="0" fontId="0" fillId="0" borderId="66" xfId="0" applyBorder="1"/>
    <xf numFmtId="0" fontId="0" fillId="0" borderId="68" xfId="0" applyBorder="1"/>
    <xf numFmtId="0" fontId="0" fillId="0" borderId="69" xfId="0" applyBorder="1"/>
    <xf numFmtId="0" fontId="0" fillId="0" borderId="0" xfId="0" applyBorder="1" applyAlignment="1">
      <alignment horizontal="right" wrapText="1"/>
    </xf>
    <xf numFmtId="0" fontId="1" fillId="0" borderId="70" xfId="0" applyFont="1" applyBorder="1"/>
    <xf numFmtId="0" fontId="0" fillId="0" borderId="68" xfId="0" applyBorder="1" applyAlignment="1">
      <alignment horizontal="center"/>
    </xf>
    <xf numFmtId="0" fontId="0" fillId="0" borderId="69" xfId="0" applyBorder="1" applyAlignment="1">
      <alignment horizontal="center"/>
    </xf>
    <xf numFmtId="0" fontId="31" fillId="3" borderId="15" xfId="0" applyFont="1" applyFill="1" applyBorder="1" applyAlignment="1">
      <alignment horizontal="center" vertical="center" wrapText="1"/>
    </xf>
    <xf numFmtId="0" fontId="38" fillId="0" borderId="28" xfId="0" quotePrefix="1" applyFont="1" applyFill="1" applyBorder="1" applyAlignment="1">
      <alignment horizontal="center" vertical="top" wrapText="1"/>
    </xf>
    <xf numFmtId="0" fontId="9" fillId="7" borderId="17"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10" fillId="6" borderId="18" xfId="1" applyFont="1" applyBorder="1" applyAlignment="1">
      <alignment horizontal="center" vertical="center" wrapText="1"/>
    </xf>
    <xf numFmtId="0" fontId="4" fillId="2" borderId="52" xfId="0" applyFont="1" applyFill="1" applyBorder="1" applyAlignment="1">
      <alignment horizontal="center" vertical="center" wrapText="1"/>
    </xf>
    <xf numFmtId="0" fontId="9" fillId="3" borderId="52" xfId="0" applyFont="1" applyFill="1" applyBorder="1" applyAlignment="1">
      <alignment horizontal="center" vertical="center" wrapText="1"/>
    </xf>
    <xf numFmtId="0" fontId="17" fillId="3" borderId="53" xfId="0" applyFont="1" applyFill="1" applyBorder="1" applyAlignment="1">
      <alignment horizontal="center" vertical="center" wrapText="1"/>
    </xf>
    <xf numFmtId="0" fontId="14" fillId="3" borderId="53"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8" fillId="3" borderId="71" xfId="0" applyFont="1" applyFill="1" applyBorder="1" applyAlignment="1">
      <alignment horizontal="center" vertical="center" wrapText="1"/>
    </xf>
    <xf numFmtId="0" fontId="14" fillId="3" borderId="71" xfId="0" applyFont="1" applyFill="1" applyBorder="1" applyAlignment="1">
      <alignment horizontal="center" vertical="center" wrapText="1"/>
    </xf>
    <xf numFmtId="9" fontId="5" fillId="3" borderId="71" xfId="2" applyFont="1" applyFill="1" applyBorder="1" applyAlignment="1">
      <alignment horizontal="center" vertical="center" wrapText="1"/>
    </xf>
    <xf numFmtId="0" fontId="48" fillId="3" borderId="71" xfId="0" applyFont="1" applyFill="1" applyBorder="1" applyAlignment="1">
      <alignment horizontal="center" vertical="center" wrapText="1"/>
    </xf>
    <xf numFmtId="0" fontId="3" fillId="0" borderId="6" xfId="0" quotePrefix="1" applyFont="1" applyFill="1" applyBorder="1" applyAlignment="1">
      <alignment horizontal="center" vertical="top"/>
    </xf>
    <xf numFmtId="0" fontId="49" fillId="0" borderId="1" xfId="0" quotePrefix="1" applyFont="1" applyFill="1" applyBorder="1" applyAlignment="1">
      <alignment horizontal="center" vertical="top" wrapText="1"/>
    </xf>
    <xf numFmtId="0" fontId="3" fillId="0" borderId="1" xfId="0" quotePrefix="1" applyFont="1" applyFill="1" applyBorder="1" applyAlignment="1">
      <alignment horizontal="center" vertical="top"/>
    </xf>
    <xf numFmtId="0" fontId="3" fillId="0" borderId="26" xfId="0" quotePrefix="1" applyFont="1" applyFill="1" applyBorder="1" applyAlignment="1">
      <alignment horizontal="center" vertical="top"/>
    </xf>
    <xf numFmtId="0" fontId="49" fillId="0" borderId="4" xfId="0" quotePrefix="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9" fillId="7" borderId="63" xfId="0" applyFont="1" applyFill="1" applyBorder="1" applyAlignment="1">
      <alignment horizontal="center" vertical="center" wrapText="1"/>
    </xf>
    <xf numFmtId="0" fontId="9" fillId="7" borderId="30"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10" fillId="6" borderId="3" xfId="1" applyFont="1" applyBorder="1" applyAlignment="1">
      <alignment horizontal="center" vertical="center" wrapText="1"/>
    </xf>
    <xf numFmtId="0" fontId="2" fillId="6" borderId="0" xfId="1" applyBorder="1" applyAlignment="1">
      <alignment horizontal="center" vertical="center" wrapText="1"/>
    </xf>
    <xf numFmtId="0" fontId="1" fillId="0" borderId="72" xfId="0" applyFont="1" applyBorder="1"/>
    <xf numFmtId="44" fontId="0" fillId="0" borderId="0" xfId="4" applyFont="1"/>
    <xf numFmtId="1" fontId="1" fillId="0" borderId="70" xfId="0" applyNumberFormat="1" applyFont="1" applyBorder="1"/>
    <xf numFmtId="164" fontId="0" fillId="0" borderId="0" xfId="4" applyNumberFormat="1" applyFont="1"/>
    <xf numFmtId="0" fontId="4" fillId="2" borderId="34" xfId="0" applyFont="1" applyFill="1" applyBorder="1" applyAlignment="1">
      <alignment horizontal="center" vertical="center" wrapText="1"/>
    </xf>
    <xf numFmtId="0" fontId="4" fillId="2" borderId="63" xfId="0" applyFont="1" applyFill="1" applyBorder="1" applyAlignment="1">
      <alignment horizontal="center" vertical="center" wrapText="1"/>
    </xf>
    <xf numFmtId="0" fontId="9" fillId="3" borderId="54" xfId="0" applyFont="1" applyFill="1" applyBorder="1" applyAlignment="1">
      <alignment horizontal="center" vertical="center" wrapText="1"/>
    </xf>
    <xf numFmtId="0" fontId="50" fillId="0" borderId="1" xfId="0" applyFont="1" applyFill="1" applyBorder="1" applyAlignment="1">
      <alignment horizontal="center" vertical="center"/>
    </xf>
    <xf numFmtId="0" fontId="50" fillId="0" borderId="1" xfId="0" applyFont="1" applyFill="1" applyBorder="1" applyAlignment="1">
      <alignment horizontal="center" vertical="center" wrapText="1"/>
    </xf>
    <xf numFmtId="0" fontId="46" fillId="0" borderId="1" xfId="0" applyFont="1" applyFill="1" applyBorder="1" applyAlignment="1"/>
    <xf numFmtId="0" fontId="9" fillId="3" borderId="0" xfId="0" applyFont="1" applyFill="1" applyBorder="1" applyAlignment="1">
      <alignment horizontal="center" vertical="center" wrapText="1"/>
    </xf>
    <xf numFmtId="0" fontId="48" fillId="3" borderId="0" xfId="0" applyFont="1" applyFill="1" applyBorder="1" applyAlignment="1">
      <alignment horizontal="center" vertical="center" wrapText="1"/>
    </xf>
    <xf numFmtId="9" fontId="4" fillId="3" borderId="0" xfId="2" applyFont="1" applyFill="1" applyBorder="1" applyAlignment="1">
      <alignment horizontal="center" vertical="center" wrapText="1"/>
    </xf>
    <xf numFmtId="0" fontId="0" fillId="0" borderId="0" xfId="0" applyFill="1" applyBorder="1" applyAlignment="1">
      <alignment horizontal="center" vertical="center"/>
    </xf>
    <xf numFmtId="1" fontId="51" fillId="8" borderId="0" xfId="0" quotePrefix="1" applyNumberFormat="1" applyFont="1" applyFill="1" applyBorder="1" applyAlignment="1">
      <alignment horizontal="center" vertical="top"/>
    </xf>
    <xf numFmtId="2" fontId="51" fillId="8" borderId="0" xfId="0" quotePrefix="1" applyNumberFormat="1" applyFont="1" applyFill="1" applyBorder="1" applyAlignment="1">
      <alignment horizontal="center" vertical="top"/>
    </xf>
    <xf numFmtId="9" fontId="51" fillId="8" borderId="0" xfId="2" quotePrefix="1" applyFont="1" applyFill="1" applyBorder="1" applyAlignment="1">
      <alignment horizontal="center" vertical="top"/>
    </xf>
    <xf numFmtId="9" fontId="4" fillId="13" borderId="0" xfId="2" applyFont="1" applyFill="1" applyBorder="1" applyAlignment="1">
      <alignment horizontal="center" vertical="center" wrapText="1"/>
    </xf>
    <xf numFmtId="9" fontId="4" fillId="17" borderId="0" xfId="2" applyFont="1" applyFill="1" applyBorder="1" applyAlignment="1">
      <alignment horizontal="center" vertical="center" wrapText="1"/>
    </xf>
    <xf numFmtId="9" fontId="51" fillId="8" borderId="1" xfId="2" quotePrefix="1" applyFont="1" applyFill="1" applyBorder="1" applyAlignment="1">
      <alignment horizontal="center" vertical="top"/>
    </xf>
    <xf numFmtId="2" fontId="51" fillId="17" borderId="1" xfId="0" quotePrefix="1" applyNumberFormat="1" applyFont="1" applyFill="1" applyBorder="1" applyAlignment="1">
      <alignment horizontal="center" vertical="top"/>
    </xf>
    <xf numFmtId="1" fontId="51" fillId="17" borderId="1" xfId="0" quotePrefix="1" applyNumberFormat="1" applyFont="1" applyFill="1" applyBorder="1" applyAlignment="1">
      <alignment horizontal="center" vertical="top"/>
    </xf>
    <xf numFmtId="0" fontId="0" fillId="0" borderId="1" xfId="0" applyFill="1" applyBorder="1" applyAlignment="1">
      <alignment horizontal="center" vertical="center"/>
    </xf>
    <xf numFmtId="0" fontId="3" fillId="17" borderId="4" xfId="0" quotePrefix="1" applyFont="1" applyFill="1" applyBorder="1" applyAlignment="1">
      <alignment horizontal="center" vertical="top"/>
    </xf>
    <xf numFmtId="0" fontId="49" fillId="17" borderId="4" xfId="0" quotePrefix="1" applyFont="1" applyFill="1" applyBorder="1" applyAlignment="1">
      <alignment horizontal="center" vertical="top" wrapText="1"/>
    </xf>
    <xf numFmtId="0" fontId="3" fillId="17" borderId="1" xfId="0" quotePrefix="1" applyFont="1" applyFill="1" applyBorder="1" applyAlignment="1">
      <alignment horizontal="center" vertical="top"/>
    </xf>
    <xf numFmtId="0" fontId="49" fillId="17" borderId="1" xfId="0" quotePrefix="1" applyFont="1" applyFill="1" applyBorder="1" applyAlignment="1">
      <alignment horizontal="center" vertical="top" wrapText="1"/>
    </xf>
    <xf numFmtId="0" fontId="49" fillId="17" borderId="35" xfId="0" quotePrefix="1" applyFont="1" applyFill="1" applyBorder="1" applyAlignment="1">
      <alignment horizontal="center" vertical="top" wrapText="1"/>
    </xf>
    <xf numFmtId="0" fontId="3" fillId="17" borderId="6" xfId="0" quotePrefix="1" applyFont="1" applyFill="1" applyBorder="1" applyAlignment="1">
      <alignment horizontal="center" vertical="top"/>
    </xf>
    <xf numFmtId="0" fontId="4" fillId="17" borderId="1" xfId="0" applyFont="1" applyFill="1" applyBorder="1" applyAlignment="1">
      <alignment horizontal="center" vertical="center" wrapText="1"/>
    </xf>
    <xf numFmtId="0" fontId="6" fillId="17" borderId="1" xfId="0" quotePrefix="1" applyFont="1" applyFill="1" applyBorder="1" applyAlignment="1">
      <alignment horizontal="center" vertical="top" wrapText="1"/>
    </xf>
    <xf numFmtId="0" fontId="3" fillId="0" borderId="0" xfId="0" quotePrefix="1" applyFont="1" applyFill="1" applyBorder="1" applyAlignment="1">
      <alignment horizontal="center" vertical="top"/>
    </xf>
    <xf numFmtId="0" fontId="56" fillId="0" borderId="0" xfId="0" applyFont="1" applyAlignment="1">
      <alignment vertical="center"/>
    </xf>
    <xf numFmtId="0" fontId="57" fillId="0" borderId="0" xfId="0" applyFont="1" applyAlignment="1">
      <alignment vertical="center"/>
    </xf>
    <xf numFmtId="0" fontId="52" fillId="0" borderId="0" xfId="0" applyFont="1" applyAlignment="1">
      <alignment vertical="center"/>
    </xf>
    <xf numFmtId="0" fontId="52" fillId="0" borderId="0" xfId="0" applyFont="1" applyFill="1" applyAlignment="1">
      <alignment vertical="center"/>
    </xf>
    <xf numFmtId="0" fontId="54" fillId="0" borderId="0" xfId="0" applyFont="1" applyAlignment="1">
      <alignment horizontal="left" vertical="center"/>
    </xf>
    <xf numFmtId="0" fontId="52" fillId="0" borderId="6" xfId="0" applyFont="1" applyBorder="1" applyAlignment="1">
      <alignment vertical="center"/>
    </xf>
    <xf numFmtId="0" fontId="52" fillId="0" borderId="6" xfId="0" applyFont="1" applyFill="1" applyBorder="1" applyAlignment="1">
      <alignment vertical="center"/>
    </xf>
    <xf numFmtId="0" fontId="52" fillId="0" borderId="6" xfId="0" applyFont="1" applyFill="1" applyBorder="1" applyAlignment="1">
      <alignment horizontal="left" vertical="center"/>
    </xf>
    <xf numFmtId="0" fontId="52" fillId="0" borderId="9" xfId="0" applyFont="1" applyBorder="1" applyAlignment="1">
      <alignment horizontal="center" vertical="center"/>
    </xf>
    <xf numFmtId="4" fontId="52" fillId="0" borderId="9" xfId="0" applyNumberFormat="1" applyFont="1" applyFill="1" applyBorder="1" applyAlignment="1">
      <alignment horizontal="center" vertical="center"/>
    </xf>
    <xf numFmtId="0" fontId="55" fillId="0" borderId="46" xfId="0" applyFont="1" applyBorder="1" applyAlignment="1">
      <alignment horizontal="left" vertical="center"/>
    </xf>
    <xf numFmtId="0" fontId="53" fillId="0" borderId="50" xfId="0" applyFont="1" applyBorder="1" applyAlignment="1">
      <alignment horizontal="center" vertical="center"/>
    </xf>
    <xf numFmtId="0" fontId="53" fillId="0" borderId="62" xfId="0" applyFont="1" applyBorder="1" applyAlignment="1">
      <alignment horizontal="center" vertical="center"/>
    </xf>
    <xf numFmtId="0" fontId="52" fillId="0" borderId="35" xfId="0" applyFont="1" applyBorder="1" applyAlignment="1">
      <alignment horizontal="left" vertical="center"/>
    </xf>
    <xf numFmtId="0" fontId="55" fillId="0" borderId="35" xfId="0" applyFont="1" applyBorder="1" applyAlignment="1">
      <alignment horizontal="left" vertical="center"/>
    </xf>
    <xf numFmtId="0" fontId="55" fillId="0" borderId="8" xfId="0" applyFont="1" applyBorder="1" applyAlignment="1">
      <alignment vertical="center"/>
    </xf>
    <xf numFmtId="0" fontId="55" fillId="0" borderId="8" xfId="0" applyFont="1" applyFill="1" applyBorder="1" applyAlignment="1">
      <alignment vertical="center"/>
    </xf>
    <xf numFmtId="0" fontId="53" fillId="0" borderId="35" xfId="0" applyFont="1" applyBorder="1" applyAlignment="1">
      <alignment horizontal="left" vertical="center"/>
    </xf>
    <xf numFmtId="0" fontId="52" fillId="0" borderId="40" xfId="0" applyFont="1" applyBorder="1" applyAlignment="1">
      <alignment horizontal="left" vertical="center"/>
    </xf>
    <xf numFmtId="0" fontId="52" fillId="0" borderId="12" xfId="0" applyFont="1" applyFill="1" applyBorder="1" applyAlignment="1">
      <alignment horizontal="left" vertical="center"/>
    </xf>
    <xf numFmtId="0" fontId="53" fillId="0" borderId="47" xfId="0" applyFont="1" applyBorder="1" applyAlignment="1">
      <alignment horizontal="left" vertical="center"/>
    </xf>
    <xf numFmtId="0" fontId="52" fillId="0" borderId="25" xfId="0" applyFont="1" applyFill="1" applyBorder="1" applyAlignment="1">
      <alignment horizontal="left" vertical="center"/>
    </xf>
    <xf numFmtId="0" fontId="53" fillId="0" borderId="6" xfId="0" applyFont="1" applyBorder="1" applyAlignment="1">
      <alignment horizontal="right" vertical="center"/>
    </xf>
    <xf numFmtId="0" fontId="59" fillId="0" borderId="0" xfId="0" applyFont="1" applyAlignment="1">
      <alignment horizontal="left" vertical="center"/>
    </xf>
    <xf numFmtId="4" fontId="52" fillId="0" borderId="20" xfId="0" applyNumberFormat="1" applyFont="1" applyFill="1" applyBorder="1" applyAlignment="1">
      <alignment horizontal="center" vertical="center"/>
    </xf>
    <xf numFmtId="0" fontId="55" fillId="9" borderId="8" xfId="0" applyFont="1" applyFill="1" applyBorder="1" applyAlignment="1">
      <alignment vertical="center"/>
    </xf>
    <xf numFmtId="0" fontId="52" fillId="9" borderId="6" xfId="0" applyFont="1" applyFill="1" applyBorder="1" applyAlignment="1">
      <alignment vertical="center"/>
    </xf>
    <xf numFmtId="0" fontId="53" fillId="0" borderId="53" xfId="0" applyFont="1" applyFill="1" applyBorder="1" applyAlignment="1">
      <alignment horizontal="center" vertical="center"/>
    </xf>
    <xf numFmtId="4" fontId="52" fillId="0" borderId="7" xfId="0" applyNumberFormat="1" applyFont="1" applyBorder="1" applyAlignment="1">
      <alignment horizontal="center" vertical="center"/>
    </xf>
    <xf numFmtId="4" fontId="53" fillId="0" borderId="7" xfId="0" applyNumberFormat="1" applyFont="1" applyBorder="1" applyAlignment="1">
      <alignment horizontal="center" vertical="center"/>
    </xf>
    <xf numFmtId="4" fontId="52" fillId="0" borderId="7" xfId="0" applyNumberFormat="1" applyFont="1" applyFill="1" applyBorder="1" applyAlignment="1">
      <alignment horizontal="center" vertical="center"/>
    </xf>
    <xf numFmtId="0" fontId="52" fillId="0" borderId="7" xfId="0" applyFont="1" applyFill="1" applyBorder="1" applyAlignment="1">
      <alignment horizontal="right" vertical="center"/>
    </xf>
    <xf numFmtId="0" fontId="53" fillId="0" borderId="46" xfId="0" applyFont="1" applyFill="1" applyBorder="1" applyAlignment="1">
      <alignment horizontal="center" vertical="center"/>
    </xf>
    <xf numFmtId="4" fontId="52" fillId="0" borderId="35" xfId="0" applyNumberFormat="1" applyFont="1" applyBorder="1" applyAlignment="1">
      <alignment horizontal="center" vertical="center"/>
    </xf>
    <xf numFmtId="4" fontId="53" fillId="0" borderId="35" xfId="0" applyNumberFormat="1" applyFont="1" applyBorder="1" applyAlignment="1">
      <alignment horizontal="center" vertical="center"/>
    </xf>
    <xf numFmtId="4" fontId="52" fillId="0" borderId="35" xfId="0" applyNumberFormat="1" applyFont="1" applyFill="1" applyBorder="1" applyAlignment="1">
      <alignment horizontal="center" vertical="center"/>
    </xf>
    <xf numFmtId="3" fontId="52" fillId="0" borderId="7" xfId="0" applyNumberFormat="1" applyFont="1" applyFill="1" applyBorder="1" applyAlignment="1">
      <alignment horizontal="center" vertical="center"/>
    </xf>
    <xf numFmtId="3" fontId="52" fillId="0" borderId="7" xfId="0" applyNumberFormat="1" applyFont="1" applyBorder="1" applyAlignment="1">
      <alignment horizontal="center" vertical="center"/>
    </xf>
    <xf numFmtId="3" fontId="52" fillId="0" borderId="35" xfId="0" applyNumberFormat="1" applyFont="1" applyBorder="1" applyAlignment="1">
      <alignment horizontal="center" vertical="center"/>
    </xf>
    <xf numFmtId="0" fontId="53" fillId="0" borderId="73" xfId="0" applyFont="1" applyBorder="1" applyAlignment="1">
      <alignment horizontal="center" vertical="center"/>
    </xf>
    <xf numFmtId="0" fontId="52" fillId="0" borderId="11" xfId="0" applyFont="1" applyBorder="1" applyAlignment="1">
      <alignment horizontal="center" vertical="center"/>
    </xf>
    <xf numFmtId="4" fontId="52" fillId="0" borderId="36" xfId="0" applyNumberFormat="1" applyFont="1" applyFill="1" applyBorder="1" applyAlignment="1">
      <alignment horizontal="center" vertical="center"/>
    </xf>
    <xf numFmtId="0" fontId="52" fillId="0" borderId="36" xfId="0" applyFont="1" applyFill="1" applyBorder="1" applyAlignment="1">
      <alignment horizontal="center" vertical="center"/>
    </xf>
    <xf numFmtId="1" fontId="52" fillId="0" borderId="11" xfId="0" applyNumberFormat="1" applyFont="1" applyBorder="1" applyAlignment="1">
      <alignment horizontal="center" vertical="center"/>
    </xf>
    <xf numFmtId="1" fontId="52" fillId="0" borderId="66" xfId="0" applyNumberFormat="1" applyFont="1" applyBorder="1" applyAlignment="1">
      <alignment horizontal="center" vertical="center"/>
    </xf>
    <xf numFmtId="1" fontId="52" fillId="0" borderId="38" xfId="0" applyNumberFormat="1" applyFont="1" applyBorder="1" applyAlignment="1">
      <alignment horizontal="center" vertical="center"/>
    </xf>
    <xf numFmtId="1" fontId="52" fillId="0" borderId="74" xfId="0" applyNumberFormat="1" applyFont="1" applyFill="1" applyBorder="1" applyAlignment="1">
      <alignment horizontal="center" vertical="center"/>
    </xf>
    <xf numFmtId="1" fontId="52" fillId="0" borderId="35" xfId="0" applyNumberFormat="1" applyFont="1" applyBorder="1" applyAlignment="1">
      <alignment horizontal="center" vertical="center"/>
    </xf>
    <xf numFmtId="1" fontId="52" fillId="0" borderId="7" xfId="0" applyNumberFormat="1" applyFont="1" applyBorder="1" applyAlignment="1">
      <alignment horizontal="center" vertical="center"/>
    </xf>
    <xf numFmtId="1" fontId="52" fillId="0" borderId="7" xfId="0" applyNumberFormat="1" applyFont="1" applyFill="1" applyBorder="1" applyAlignment="1">
      <alignment horizontal="center" vertical="center"/>
    </xf>
    <xf numFmtId="1" fontId="52" fillId="0" borderId="71" xfId="0" applyNumberFormat="1" applyFont="1" applyFill="1" applyBorder="1" applyAlignment="1">
      <alignment horizontal="center" vertical="center"/>
    </xf>
    <xf numFmtId="1" fontId="52" fillId="0" borderId="40" xfId="0" applyNumberFormat="1" applyFont="1" applyBorder="1" applyAlignment="1">
      <alignment horizontal="center" vertical="center"/>
    </xf>
    <xf numFmtId="1" fontId="52" fillId="0" borderId="71" xfId="0" applyNumberFormat="1" applyFont="1" applyBorder="1" applyAlignment="1">
      <alignment horizontal="center" vertical="center"/>
    </xf>
    <xf numFmtId="2" fontId="52" fillId="0" borderId="11" xfId="0" applyNumberFormat="1" applyFont="1" applyBorder="1" applyAlignment="1">
      <alignment horizontal="center" vertical="center"/>
    </xf>
    <xf numFmtId="165" fontId="52" fillId="0" borderId="11" xfId="0" applyNumberFormat="1" applyFont="1" applyBorder="1" applyAlignment="1">
      <alignment horizontal="center" vertical="center"/>
    </xf>
    <xf numFmtId="165" fontId="52" fillId="0" borderId="7" xfId="0" applyNumberFormat="1" applyFont="1" applyFill="1" applyBorder="1" applyAlignment="1">
      <alignment horizontal="center" vertical="center"/>
    </xf>
    <xf numFmtId="4" fontId="52" fillId="0" borderId="20" xfId="0" applyNumberFormat="1" applyFont="1" applyBorder="1" applyAlignment="1">
      <alignment horizontal="center" vertical="center"/>
    </xf>
    <xf numFmtId="4" fontId="52" fillId="0" borderId="21" xfId="0" applyNumberFormat="1" applyFont="1" applyBorder="1" applyAlignment="1">
      <alignment horizontal="center" vertical="center"/>
    </xf>
    <xf numFmtId="4" fontId="52" fillId="0" borderId="22" xfId="0" applyNumberFormat="1" applyFont="1" applyBorder="1" applyAlignment="1">
      <alignment horizontal="center" vertical="center"/>
    </xf>
    <xf numFmtId="0" fontId="52" fillId="0" borderId="20" xfId="0" applyFont="1" applyFill="1" applyBorder="1" applyAlignment="1">
      <alignment horizontal="center" vertical="center"/>
    </xf>
    <xf numFmtId="0" fontId="52" fillId="0" borderId="21" xfId="0" applyFont="1" applyFill="1" applyBorder="1" applyAlignment="1">
      <alignment horizontal="center" vertical="center"/>
    </xf>
    <xf numFmtId="0" fontId="52" fillId="0" borderId="31" xfId="0" applyFont="1" applyFill="1" applyBorder="1" applyAlignment="1">
      <alignment horizontal="center" vertical="center"/>
    </xf>
    <xf numFmtId="0" fontId="57" fillId="0" borderId="0" xfId="0" applyFont="1" applyAlignment="1">
      <alignment horizontal="center" vertical="center"/>
    </xf>
    <xf numFmtId="0" fontId="53" fillId="0" borderId="60" xfId="0" applyFont="1" applyBorder="1" applyAlignment="1">
      <alignment horizontal="center" vertical="center"/>
    </xf>
    <xf numFmtId="0" fontId="53" fillId="0" borderId="61" xfId="0" applyFont="1" applyBorder="1" applyAlignment="1">
      <alignment horizontal="center" vertical="center"/>
    </xf>
    <xf numFmtId="0" fontId="53" fillId="0" borderId="13" xfId="0" applyFont="1" applyBorder="1" applyAlignment="1">
      <alignment horizontal="center" vertical="center"/>
    </xf>
    <xf numFmtId="0" fontId="53" fillId="0" borderId="48" xfId="0" applyFont="1" applyBorder="1" applyAlignment="1">
      <alignment horizontal="center" vertical="center"/>
    </xf>
    <xf numFmtId="0" fontId="53" fillId="0" borderId="16" xfId="0" applyFont="1" applyBorder="1" applyAlignment="1">
      <alignment horizontal="center" vertical="center"/>
    </xf>
    <xf numFmtId="0" fontId="53" fillId="0" borderId="31" xfId="0" applyFont="1" applyBorder="1" applyAlignment="1">
      <alignment horizontal="center" vertical="center"/>
    </xf>
    <xf numFmtId="0" fontId="53" fillId="15" borderId="57" xfId="0" applyFont="1" applyFill="1" applyBorder="1" applyAlignment="1">
      <alignment horizontal="center" vertical="center" wrapText="1"/>
    </xf>
    <xf numFmtId="0" fontId="53" fillId="15" borderId="54" xfId="0" applyFont="1" applyFill="1" applyBorder="1" applyAlignment="1">
      <alignment horizontal="center" vertical="center" wrapText="1"/>
    </xf>
    <xf numFmtId="0" fontId="53" fillId="22" borderId="57" xfId="0" applyFont="1" applyFill="1" applyBorder="1" applyAlignment="1">
      <alignment horizontal="center" vertical="center" wrapText="1"/>
    </xf>
    <xf numFmtId="0" fontId="53" fillId="22" borderId="54" xfId="0" applyFont="1" applyFill="1" applyBorder="1" applyAlignment="1">
      <alignment horizontal="center" vertical="center" wrapText="1"/>
    </xf>
    <xf numFmtId="0" fontId="53" fillId="23" borderId="57" xfId="0" applyFont="1" applyFill="1" applyBorder="1" applyAlignment="1">
      <alignment horizontal="center" vertical="center" wrapText="1"/>
    </xf>
    <xf numFmtId="0" fontId="53" fillId="23" borderId="54" xfId="0" applyFont="1" applyFill="1" applyBorder="1" applyAlignment="1">
      <alignment horizontal="center" vertical="center" wrapText="1"/>
    </xf>
    <xf numFmtId="0" fontId="53" fillId="19" borderId="57" xfId="0" applyFont="1" applyFill="1" applyBorder="1" applyAlignment="1">
      <alignment horizontal="center" vertical="center" wrapText="1"/>
    </xf>
    <xf numFmtId="0" fontId="53" fillId="19" borderId="54" xfId="0" applyFont="1" applyFill="1" applyBorder="1" applyAlignment="1">
      <alignment horizontal="center" vertical="center" wrapText="1"/>
    </xf>
    <xf numFmtId="0" fontId="58" fillId="20" borderId="57" xfId="0" applyFont="1" applyFill="1" applyBorder="1" applyAlignment="1">
      <alignment horizontal="center" vertical="center" wrapText="1"/>
    </xf>
    <xf numFmtId="0" fontId="58" fillId="20" borderId="54" xfId="0" applyFont="1" applyFill="1" applyBorder="1" applyAlignment="1">
      <alignment horizontal="center" vertical="center" wrapText="1"/>
    </xf>
    <xf numFmtId="0" fontId="53" fillId="4" borderId="63" xfId="0" applyFont="1" applyFill="1" applyBorder="1" applyAlignment="1">
      <alignment horizontal="center" vertical="center" wrapText="1"/>
    </xf>
    <xf numFmtId="0" fontId="53" fillId="4" borderId="67" xfId="0" applyFont="1" applyFill="1" applyBorder="1" applyAlignment="1">
      <alignment horizontal="center" vertical="center" wrapText="1"/>
    </xf>
    <xf numFmtId="0" fontId="58" fillId="18" borderId="57" xfId="0" applyFont="1" applyFill="1" applyBorder="1" applyAlignment="1">
      <alignment horizontal="center" vertical="center"/>
    </xf>
    <xf numFmtId="0" fontId="58" fillId="18" borderId="54" xfId="0" applyFont="1" applyFill="1" applyBorder="1" applyAlignment="1">
      <alignment horizontal="center" vertical="center"/>
    </xf>
    <xf numFmtId="0" fontId="53" fillId="21" borderId="57" xfId="0" applyFont="1" applyFill="1" applyBorder="1" applyAlignment="1">
      <alignment horizontal="center" vertical="center" wrapText="1"/>
    </xf>
    <xf numFmtId="0" fontId="53" fillId="21" borderId="54"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7" fillId="0" borderId="0" xfId="0" applyFont="1" applyAlignment="1">
      <alignment horizontal="center"/>
    </xf>
    <xf numFmtId="0" fontId="0" fillId="0" borderId="0" xfId="0" applyAlignment="1">
      <alignment horizontal="left" vertical="top" wrapText="1"/>
    </xf>
    <xf numFmtId="0" fontId="0" fillId="0" borderId="0" xfId="0" applyBorder="1" applyAlignment="1">
      <alignment horizontal="center"/>
    </xf>
    <xf numFmtId="0" fontId="0" fillId="0" borderId="63" xfId="0" applyBorder="1" applyAlignment="1">
      <alignment horizontal="center"/>
    </xf>
    <xf numFmtId="0" fontId="0" fillId="0" borderId="64" xfId="0" applyBorder="1" applyAlignment="1">
      <alignment horizontal="center"/>
    </xf>
    <xf numFmtId="0" fontId="0" fillId="0" borderId="65" xfId="0" applyBorder="1" applyAlignment="1">
      <alignment horizontal="center"/>
    </xf>
    <xf numFmtId="0" fontId="0" fillId="0" borderId="66" xfId="0" applyBorder="1" applyAlignment="1">
      <alignment horizontal="center"/>
    </xf>
    <xf numFmtId="0" fontId="0" fillId="0" borderId="67" xfId="0" applyBorder="1" applyAlignment="1">
      <alignment horizontal="right" wrapText="1"/>
    </xf>
    <xf numFmtId="0" fontId="0" fillId="0" borderId="68" xfId="0" applyBorder="1" applyAlignment="1">
      <alignment horizontal="right" wrapText="1"/>
    </xf>
    <xf numFmtId="0" fontId="1" fillId="0" borderId="72" xfId="0" applyFont="1" applyBorder="1" applyAlignment="1">
      <alignment horizontal="center" wrapText="1"/>
    </xf>
    <xf numFmtId="0" fontId="0" fillId="0" borderId="0" xfId="0" applyAlignment="1">
      <alignment horizontal="center"/>
    </xf>
    <xf numFmtId="0" fontId="0" fillId="13" borderId="63" xfId="0" applyFill="1" applyBorder="1" applyAlignment="1">
      <alignment horizontal="center"/>
    </xf>
    <xf numFmtId="0" fontId="0" fillId="13" borderId="64" xfId="0" applyFill="1" applyBorder="1" applyAlignment="1">
      <alignment horizontal="center"/>
    </xf>
    <xf numFmtId="0" fontId="0" fillId="13" borderId="65" xfId="0" applyFill="1" applyBorder="1" applyAlignment="1">
      <alignment horizontal="center"/>
    </xf>
    <xf numFmtId="0" fontId="0" fillId="15" borderId="63" xfId="0" applyFill="1" applyBorder="1" applyAlignment="1">
      <alignment horizontal="center"/>
    </xf>
    <xf numFmtId="0" fontId="0" fillId="15" borderId="64" xfId="0" applyFill="1" applyBorder="1" applyAlignment="1">
      <alignment horizontal="center"/>
    </xf>
    <xf numFmtId="0" fontId="0" fillId="15" borderId="65" xfId="0" applyFill="1" applyBorder="1" applyAlignment="1">
      <alignment horizontal="center"/>
    </xf>
    <xf numFmtId="0" fontId="0" fillId="9" borderId="63" xfId="0" applyFill="1" applyBorder="1" applyAlignment="1">
      <alignment horizontal="center"/>
    </xf>
    <xf numFmtId="0" fontId="0" fillId="9" borderId="64" xfId="0" applyFill="1" applyBorder="1" applyAlignment="1">
      <alignment horizontal="center"/>
    </xf>
    <xf numFmtId="0" fontId="0" fillId="9" borderId="65" xfId="0" applyFill="1" applyBorder="1" applyAlignment="1">
      <alignment horizontal="center"/>
    </xf>
    <xf numFmtId="0" fontId="0" fillId="14" borderId="63" xfId="0" applyFill="1" applyBorder="1" applyAlignment="1">
      <alignment horizontal="center"/>
    </xf>
    <xf numFmtId="0" fontId="0" fillId="14" borderId="64" xfId="0" applyFill="1" applyBorder="1" applyAlignment="1">
      <alignment horizontal="center"/>
    </xf>
    <xf numFmtId="0" fontId="0" fillId="14" borderId="65" xfId="0" applyFill="1" applyBorder="1" applyAlignment="1">
      <alignment horizontal="center"/>
    </xf>
    <xf numFmtId="0" fontId="0" fillId="16" borderId="63" xfId="0" applyFill="1" applyBorder="1" applyAlignment="1">
      <alignment horizontal="center"/>
    </xf>
    <xf numFmtId="0" fontId="0" fillId="16" borderId="64" xfId="0" applyFill="1" applyBorder="1" applyAlignment="1">
      <alignment horizontal="center"/>
    </xf>
    <xf numFmtId="0" fontId="0" fillId="16" borderId="65" xfId="0" applyFill="1" applyBorder="1" applyAlignment="1">
      <alignment horizontal="center"/>
    </xf>
    <xf numFmtId="0" fontId="1" fillId="12" borderId="41" xfId="0" applyFont="1" applyFill="1" applyBorder="1" applyAlignment="1">
      <alignment horizontal="center"/>
    </xf>
    <xf numFmtId="0" fontId="47" fillId="0" borderId="5" xfId="0" applyFont="1" applyBorder="1" applyAlignment="1">
      <alignment horizontal="center" vertical="center" wrapText="1"/>
    </xf>
    <xf numFmtId="0" fontId="47" fillId="0" borderId="28" xfId="0" applyFont="1" applyBorder="1" applyAlignment="1">
      <alignment horizontal="center" vertical="center" wrapText="1"/>
    </xf>
    <xf numFmtId="0" fontId="47" fillId="0" borderId="6" xfId="0" applyFont="1" applyBorder="1" applyAlignment="1">
      <alignment horizontal="center" vertical="center" wrapText="1"/>
    </xf>
    <xf numFmtId="0" fontId="20" fillId="0" borderId="0" xfId="0" applyFont="1" applyAlignment="1">
      <alignment horizontal="center"/>
    </xf>
    <xf numFmtId="0" fontId="26" fillId="3" borderId="46" xfId="0" applyFont="1" applyFill="1" applyBorder="1" applyAlignment="1">
      <alignment horizontal="center" vertical="center" wrapText="1"/>
    </xf>
    <xf numFmtId="0" fontId="26" fillId="3" borderId="49" xfId="0" applyFont="1" applyFill="1" applyBorder="1" applyAlignment="1">
      <alignment horizontal="center" vertical="center" wrapText="1"/>
    </xf>
    <xf numFmtId="0" fontId="26" fillId="3" borderId="50" xfId="0" applyFont="1" applyFill="1" applyBorder="1" applyAlignment="1">
      <alignment horizontal="center" vertical="center" wrapText="1"/>
    </xf>
    <xf numFmtId="0" fontId="19" fillId="0" borderId="0" xfId="0" applyFont="1" applyAlignment="1">
      <alignment horizontal="left" vertical="top" wrapText="1"/>
    </xf>
    <xf numFmtId="0" fontId="19" fillId="0" borderId="0" xfId="0" applyFont="1" applyBorder="1" applyAlignment="1">
      <alignment horizontal="left" vertical="top" wrapText="1"/>
    </xf>
    <xf numFmtId="0" fontId="26" fillId="3" borderId="60" xfId="0" applyFont="1" applyFill="1" applyBorder="1" applyAlignment="1">
      <alignment horizontal="center" vertical="center" wrapText="1"/>
    </xf>
    <xf numFmtId="0" fontId="26" fillId="3" borderId="61" xfId="0" applyFont="1" applyFill="1" applyBorder="1" applyAlignment="1">
      <alignment horizontal="center" vertical="center" wrapText="1"/>
    </xf>
    <xf numFmtId="0" fontId="26" fillId="3" borderId="62" xfId="0" applyFont="1" applyFill="1" applyBorder="1" applyAlignment="1">
      <alignment horizontal="center" vertical="center" wrapText="1"/>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2" xfId="0" applyFill="1" applyBorder="1" applyAlignment="1">
      <alignment horizontal="center"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3" borderId="20"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2" xfId="0" applyFill="1" applyBorder="1" applyAlignment="1">
      <alignment horizontal="center" vertical="center" wrapText="1"/>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3" borderId="20" xfId="0" applyFill="1" applyBorder="1" applyAlignment="1">
      <alignment horizontal="center"/>
    </xf>
    <xf numFmtId="0" fontId="0" fillId="3" borderId="22" xfId="0" applyFill="1" applyBorder="1" applyAlignment="1">
      <alignment horizontal="center"/>
    </xf>
    <xf numFmtId="0" fontId="0" fillId="3" borderId="3" xfId="0" applyFill="1" applyBorder="1" applyAlignment="1">
      <alignment horizontal="center" vertical="center"/>
    </xf>
    <xf numFmtId="0" fontId="0" fillId="3" borderId="31" xfId="0" applyFill="1" applyBorder="1" applyAlignment="1">
      <alignment horizontal="center" vertical="center" wrapText="1"/>
    </xf>
    <xf numFmtId="0" fontId="0" fillId="3" borderId="32" xfId="0" applyFill="1" applyBorder="1" applyAlignment="1">
      <alignment horizontal="center" vertical="center" wrapText="1"/>
    </xf>
    <xf numFmtId="0" fontId="0" fillId="3" borderId="24" xfId="0" applyFill="1" applyBorder="1" applyAlignment="1">
      <alignment horizontal="center" vertical="center"/>
    </xf>
    <xf numFmtId="0" fontId="0" fillId="3" borderId="23" xfId="0" applyFill="1" applyBorder="1" applyAlignment="1">
      <alignment horizontal="center" vertical="center"/>
    </xf>
    <xf numFmtId="0" fontId="0" fillId="3" borderId="2" xfId="0" applyFill="1" applyBorder="1" applyAlignment="1">
      <alignment horizontal="center" wrapText="1"/>
    </xf>
    <xf numFmtId="0" fontId="0" fillId="3" borderId="4" xfId="0" applyFill="1" applyBorder="1" applyAlignment="1">
      <alignment horizontal="center" wrapText="1"/>
    </xf>
  </cellXfs>
  <cellStyles count="5">
    <cellStyle name="Bad" xfId="3" builtinId="27"/>
    <cellStyle name="Currency" xfId="4" builtinId="4"/>
    <cellStyle name="Input" xfId="1" builtinId="20"/>
    <cellStyle name="Normal" xfId="0" builtinId="0"/>
    <cellStyle name="Percent" xfId="2" builtinId="5"/>
  </cellStyles>
  <dxfs count="0"/>
  <tableStyles count="0" defaultTableStyle="TableStyleMedium2" defaultPivotStyle="PivotStyleLight16"/>
  <colors>
    <mruColors>
      <color rgb="FF9966FF"/>
      <color rgb="FFFFFF99"/>
      <color rgb="FF008080"/>
      <color rgb="FF006699"/>
      <color rgb="FF0000FF"/>
      <color rgb="FFDA00DA"/>
      <color rgb="FFFF66FF"/>
      <color rgb="FFFF00FF"/>
      <color rgb="FFFF9900"/>
      <color rgb="FF66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475-4303-B31E-1AF3EE3B6E4D}"/>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12-1956-489F-B5B0-7FF97E765C7D}"/>
              </c:ext>
            </c:extLst>
          </c:dPt>
          <c:val>
            <c:numRef>
              <c:f>'Qualitative Matrix - Draft Alts'!$G$26:$G$27</c:f>
              <c:numCache>
                <c:formatCode>0%</c:formatCode>
                <c:ptCount val="2"/>
                <c:pt idx="0">
                  <c:v>0.27500000000000002</c:v>
                </c:pt>
                <c:pt idx="1">
                  <c:v>0.72499999999999998</c:v>
                </c:pt>
              </c:numCache>
            </c:numRef>
          </c:val>
          <c:extLst>
            <c:ext xmlns:c16="http://schemas.microsoft.com/office/drawing/2014/chart" uri="{C3380CC4-5D6E-409C-BE32-E72D297353CC}">
              <c16:uniqueId val="{00000011-1956-489F-B5B0-7FF97E765C7D}"/>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57E-43DB-9A7B-04DF4A33D853}"/>
              </c:ext>
            </c:extLst>
          </c:dPt>
          <c:dPt>
            <c:idx val="1"/>
            <c:bubble3D val="0"/>
            <c:spPr>
              <a:solidFill>
                <a:sysClr val="window" lastClr="FFFFFF"/>
              </a:solidFill>
              <a:ln w="38100">
                <a:solidFill>
                  <a:schemeClr val="accent1"/>
                </a:solidFill>
              </a:ln>
              <a:effectLst/>
            </c:spPr>
            <c:extLst>
              <c:ext xmlns:c16="http://schemas.microsoft.com/office/drawing/2014/chart" uri="{C3380CC4-5D6E-409C-BE32-E72D297353CC}">
                <c16:uniqueId val="{00000003-E57E-43DB-9A7B-04DF4A33D853}"/>
              </c:ext>
            </c:extLst>
          </c:dPt>
          <c:val>
            <c:numRef>
              <c:f>'Qualitative Matrix - Draft Alts'!$I$26:$I$27</c:f>
              <c:numCache>
                <c:formatCode>0%</c:formatCode>
                <c:ptCount val="2"/>
                <c:pt idx="0">
                  <c:v>0.57499999999999996</c:v>
                </c:pt>
                <c:pt idx="1">
                  <c:v>0.42500000000000004</c:v>
                </c:pt>
              </c:numCache>
            </c:numRef>
          </c:val>
          <c:extLst>
            <c:ext xmlns:c16="http://schemas.microsoft.com/office/drawing/2014/chart" uri="{C3380CC4-5D6E-409C-BE32-E72D297353CC}">
              <c16:uniqueId val="{00000004-E57E-43DB-9A7B-04DF4A33D853}"/>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899-49DD-A729-09B6A3212D7A}"/>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03-A899-49DD-A729-09B6A3212D7A}"/>
              </c:ext>
            </c:extLst>
          </c:dPt>
          <c:val>
            <c:numRef>
              <c:f>'Qualitative Matrix - Draft Alts'!$K$26:$K$27</c:f>
              <c:numCache>
                <c:formatCode>0%</c:formatCode>
                <c:ptCount val="2"/>
                <c:pt idx="0">
                  <c:v>0.6</c:v>
                </c:pt>
                <c:pt idx="1">
                  <c:v>0.4</c:v>
                </c:pt>
              </c:numCache>
            </c:numRef>
          </c:val>
          <c:extLst>
            <c:ext xmlns:c16="http://schemas.microsoft.com/office/drawing/2014/chart" uri="{C3380CC4-5D6E-409C-BE32-E72D297353CC}">
              <c16:uniqueId val="{00000004-A899-49DD-A729-09B6A3212D7A}"/>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9EC-41B9-AAD7-327B23CF27DC}"/>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03-F9EC-41B9-AAD7-327B23CF27DC}"/>
              </c:ext>
            </c:extLst>
          </c:dPt>
          <c:val>
            <c:numRef>
              <c:f>'Qualitative Matrix - Draft Alts'!$M$26:$M$27</c:f>
              <c:numCache>
                <c:formatCode>0%</c:formatCode>
                <c:ptCount val="2"/>
                <c:pt idx="0">
                  <c:v>0.52500000000000002</c:v>
                </c:pt>
                <c:pt idx="1">
                  <c:v>0.47499999999999998</c:v>
                </c:pt>
              </c:numCache>
            </c:numRef>
          </c:val>
          <c:extLst>
            <c:ext xmlns:c16="http://schemas.microsoft.com/office/drawing/2014/chart" uri="{C3380CC4-5D6E-409C-BE32-E72D297353CC}">
              <c16:uniqueId val="{00000004-F9EC-41B9-AAD7-327B23CF27D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72F-4E4B-8475-869FC80E1DBB}"/>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03-B72F-4E4B-8475-869FC80E1DBB}"/>
              </c:ext>
            </c:extLst>
          </c:dPt>
          <c:val>
            <c:numRef>
              <c:f>'Qualitative Matrix - Draft Alts'!$Q$26:$Q$27</c:f>
              <c:numCache>
                <c:formatCode>0%</c:formatCode>
                <c:ptCount val="2"/>
                <c:pt idx="0">
                  <c:v>0.55000000000000004</c:v>
                </c:pt>
                <c:pt idx="1">
                  <c:v>0.44999999999999996</c:v>
                </c:pt>
              </c:numCache>
            </c:numRef>
          </c:val>
          <c:extLst>
            <c:ext xmlns:c16="http://schemas.microsoft.com/office/drawing/2014/chart" uri="{C3380CC4-5D6E-409C-BE32-E72D297353CC}">
              <c16:uniqueId val="{00000004-B72F-4E4B-8475-869FC80E1DBB}"/>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E10-47CE-82E8-63A1343CDBDF}"/>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03-AE10-47CE-82E8-63A1343CDBDF}"/>
              </c:ext>
            </c:extLst>
          </c:dPt>
          <c:val>
            <c:numRef>
              <c:f>'Qualitative Matrix - Draft Alts'!$O$26:$O$27</c:f>
              <c:numCache>
                <c:formatCode>0%</c:formatCode>
                <c:ptCount val="2"/>
                <c:pt idx="0">
                  <c:v>0.5</c:v>
                </c:pt>
                <c:pt idx="1">
                  <c:v>0.5</c:v>
                </c:pt>
              </c:numCache>
            </c:numRef>
          </c:val>
          <c:extLst>
            <c:ext xmlns:c16="http://schemas.microsoft.com/office/drawing/2014/chart" uri="{C3380CC4-5D6E-409C-BE32-E72D297353CC}">
              <c16:uniqueId val="{00000004-AE10-47CE-82E8-63A1343CDBDF}"/>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19051</xdr:colOff>
      <xdr:row>16</xdr:row>
      <xdr:rowOff>552450</xdr:rowOff>
    </xdr:from>
    <xdr:to>
      <xdr:col>7</xdr:col>
      <xdr:colOff>0</xdr:colOff>
      <xdr:row>18</xdr:row>
      <xdr:rowOff>0</xdr:rowOff>
    </xdr:to>
    <xdr:graphicFrame macro="">
      <xdr:nvGraphicFramePr>
        <xdr:cNvPr id="2" name="Chart 1">
          <a:extLst>
            <a:ext uri="{FF2B5EF4-FFF2-40B4-BE49-F238E27FC236}">
              <a16:creationId xmlns:a16="http://schemas.microsoft.com/office/drawing/2014/main" id="{72201079-09CE-49F8-9939-E34B1B15B6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17</xdr:row>
      <xdr:rowOff>0</xdr:rowOff>
    </xdr:from>
    <xdr:to>
      <xdr:col>9</xdr:col>
      <xdr:colOff>19049</xdr:colOff>
      <xdr:row>17</xdr:row>
      <xdr:rowOff>1028700</xdr:rowOff>
    </xdr:to>
    <xdr:graphicFrame macro="">
      <xdr:nvGraphicFramePr>
        <xdr:cNvPr id="3" name="Chart 2">
          <a:extLst>
            <a:ext uri="{FF2B5EF4-FFF2-40B4-BE49-F238E27FC236}">
              <a16:creationId xmlns:a16="http://schemas.microsoft.com/office/drawing/2014/main" id="{55B15B6E-60E3-4ABF-8B76-2D15341E33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17</xdr:row>
      <xdr:rowOff>0</xdr:rowOff>
    </xdr:from>
    <xdr:to>
      <xdr:col>11</xdr:col>
      <xdr:colOff>19049</xdr:colOff>
      <xdr:row>17</xdr:row>
      <xdr:rowOff>1028700</xdr:rowOff>
    </xdr:to>
    <xdr:graphicFrame macro="">
      <xdr:nvGraphicFramePr>
        <xdr:cNvPr id="4" name="Chart 3">
          <a:extLst>
            <a:ext uri="{FF2B5EF4-FFF2-40B4-BE49-F238E27FC236}">
              <a16:creationId xmlns:a16="http://schemas.microsoft.com/office/drawing/2014/main" id="{5767496E-8719-491A-8B3E-EEDBA31CF5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0</xdr:colOff>
      <xdr:row>17</xdr:row>
      <xdr:rowOff>0</xdr:rowOff>
    </xdr:from>
    <xdr:to>
      <xdr:col>13</xdr:col>
      <xdr:colOff>19049</xdr:colOff>
      <xdr:row>17</xdr:row>
      <xdr:rowOff>1028700</xdr:rowOff>
    </xdr:to>
    <xdr:graphicFrame macro="">
      <xdr:nvGraphicFramePr>
        <xdr:cNvPr id="5" name="Chart 4">
          <a:extLst>
            <a:ext uri="{FF2B5EF4-FFF2-40B4-BE49-F238E27FC236}">
              <a16:creationId xmlns:a16="http://schemas.microsoft.com/office/drawing/2014/main" id="{5B938835-3F11-4891-9718-EBB6774AB9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17</xdr:row>
      <xdr:rowOff>0</xdr:rowOff>
    </xdr:from>
    <xdr:to>
      <xdr:col>17</xdr:col>
      <xdr:colOff>19049</xdr:colOff>
      <xdr:row>17</xdr:row>
      <xdr:rowOff>1028700</xdr:rowOff>
    </xdr:to>
    <xdr:graphicFrame macro="">
      <xdr:nvGraphicFramePr>
        <xdr:cNvPr id="7" name="Chart 6">
          <a:extLst>
            <a:ext uri="{FF2B5EF4-FFF2-40B4-BE49-F238E27FC236}">
              <a16:creationId xmlns:a16="http://schemas.microsoft.com/office/drawing/2014/main" id="{F1902910-3489-456B-96E3-690ADF5939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0</xdr:colOff>
      <xdr:row>17</xdr:row>
      <xdr:rowOff>0</xdr:rowOff>
    </xdr:from>
    <xdr:to>
      <xdr:col>15</xdr:col>
      <xdr:colOff>19049</xdr:colOff>
      <xdr:row>17</xdr:row>
      <xdr:rowOff>1028700</xdr:rowOff>
    </xdr:to>
    <xdr:graphicFrame macro="">
      <xdr:nvGraphicFramePr>
        <xdr:cNvPr id="8" name="Chart 7">
          <a:extLst>
            <a:ext uri="{FF2B5EF4-FFF2-40B4-BE49-F238E27FC236}">
              <a16:creationId xmlns:a16="http://schemas.microsoft.com/office/drawing/2014/main" id="{CB877834-AB7D-4BF1-9468-3DAAACDCF1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387C9-9495-4639-9E7B-6ECD5892C35A}">
  <sheetPr>
    <pageSetUpPr fitToPage="1"/>
  </sheetPr>
  <dimension ref="A1:O40"/>
  <sheetViews>
    <sheetView view="pageLayout" zoomScale="110" zoomScaleNormal="80" zoomScalePageLayoutView="110" workbookViewId="0">
      <selection activeCell="G31" sqref="G31"/>
    </sheetView>
  </sheetViews>
  <sheetFormatPr defaultColWidth="9.140625" defaultRowHeight="12.75" outlineLevelCol="1" x14ac:dyDescent="0.25"/>
  <cols>
    <col min="1" max="1" width="2.7109375" style="257" customWidth="1"/>
    <col min="2" max="2" width="32.7109375" style="257" customWidth="1"/>
    <col min="3" max="3" width="5.7109375" style="257" customWidth="1"/>
    <col min="4" max="5" width="19.140625" style="257" customWidth="1"/>
    <col min="6" max="6" width="19.140625" style="257" customWidth="1" outlineLevel="1"/>
    <col min="7" max="7" width="10.7109375" style="257" customWidth="1"/>
    <col min="8" max="16384" width="9.140625" style="257"/>
  </cols>
  <sheetData>
    <row r="1" spans="1:15" s="255" customFormat="1" ht="18" x14ac:dyDescent="0.25">
      <c r="B1" s="317" t="s">
        <v>316</v>
      </c>
      <c r="C1" s="317"/>
      <c r="D1" s="317"/>
      <c r="E1" s="317"/>
      <c r="F1" s="317"/>
      <c r="G1" s="317"/>
    </row>
    <row r="2" spans="1:15" s="255" customFormat="1" ht="18" x14ac:dyDescent="0.25">
      <c r="B2" s="317" t="s">
        <v>310</v>
      </c>
      <c r="C2" s="317"/>
      <c r="D2" s="317"/>
      <c r="E2" s="317"/>
      <c r="F2" s="317"/>
      <c r="G2" s="317"/>
      <c r="H2" s="256"/>
      <c r="I2" s="256"/>
      <c r="J2" s="256"/>
      <c r="K2" s="256"/>
      <c r="L2" s="256"/>
      <c r="M2" s="256"/>
      <c r="N2" s="256"/>
      <c r="O2" s="256"/>
    </row>
    <row r="3" spans="1:15" ht="9.9499999999999993" customHeight="1" thickBot="1" x14ac:dyDescent="0.3"/>
    <row r="4" spans="1:15" ht="20.100000000000001" customHeight="1" x14ac:dyDescent="0.25">
      <c r="A4" s="318" t="s">
        <v>317</v>
      </c>
      <c r="B4" s="319"/>
      <c r="C4" s="322" t="s">
        <v>309</v>
      </c>
      <c r="D4" s="324" t="s">
        <v>358</v>
      </c>
      <c r="E4" s="326" t="s">
        <v>357</v>
      </c>
      <c r="F4" s="328" t="s">
        <v>361</v>
      </c>
    </row>
    <row r="5" spans="1:15" s="258" customFormat="1" ht="20.100000000000001" customHeight="1" thickBot="1" x14ac:dyDescent="0.3">
      <c r="A5" s="320"/>
      <c r="B5" s="321"/>
      <c r="C5" s="323"/>
      <c r="D5" s="325"/>
      <c r="E5" s="327"/>
      <c r="F5" s="329"/>
    </row>
    <row r="6" spans="1:15" s="258" customFormat="1" ht="15" customHeight="1" x14ac:dyDescent="0.25">
      <c r="A6" s="265" t="s">
        <v>324</v>
      </c>
      <c r="B6" s="266"/>
      <c r="C6" s="267"/>
      <c r="D6" s="294"/>
      <c r="E6" s="282"/>
      <c r="F6" s="282"/>
    </row>
    <row r="7" spans="1:15" ht="15" customHeight="1" x14ac:dyDescent="0.25">
      <c r="A7" s="268"/>
      <c r="B7" s="260" t="s">
        <v>314</v>
      </c>
      <c r="C7" s="263" t="s">
        <v>307</v>
      </c>
      <c r="D7" s="295">
        <v>27</v>
      </c>
      <c r="E7" s="291">
        <v>9</v>
      </c>
      <c r="F7" s="291">
        <v>21</v>
      </c>
    </row>
    <row r="8" spans="1:15" ht="15" customHeight="1" x14ac:dyDescent="0.25">
      <c r="A8" s="268"/>
      <c r="B8" s="260" t="s">
        <v>303</v>
      </c>
      <c r="C8" s="263" t="s">
        <v>307</v>
      </c>
      <c r="D8" s="295">
        <v>11</v>
      </c>
      <c r="E8" s="291">
        <v>5</v>
      </c>
      <c r="F8" s="291">
        <v>9</v>
      </c>
    </row>
    <row r="9" spans="1:15" ht="15" customHeight="1" x14ac:dyDescent="0.25">
      <c r="A9" s="269" t="s">
        <v>325</v>
      </c>
      <c r="B9" s="260"/>
      <c r="C9" s="263"/>
      <c r="D9" s="295"/>
      <c r="E9" s="292"/>
      <c r="F9" s="292"/>
    </row>
    <row r="10" spans="1:15" ht="15" customHeight="1" x14ac:dyDescent="0.25">
      <c r="A10" s="269"/>
      <c r="B10" s="260" t="s">
        <v>315</v>
      </c>
      <c r="C10" s="263" t="s">
        <v>307</v>
      </c>
      <c r="D10" s="295">
        <v>7</v>
      </c>
      <c r="E10" s="291">
        <v>8</v>
      </c>
      <c r="F10" s="291">
        <v>6</v>
      </c>
    </row>
    <row r="11" spans="1:15" ht="15" customHeight="1" x14ac:dyDescent="0.25">
      <c r="A11" s="269"/>
      <c r="B11" s="260" t="s">
        <v>304</v>
      </c>
      <c r="C11" s="263" t="s">
        <v>307</v>
      </c>
      <c r="D11" s="295">
        <v>0</v>
      </c>
      <c r="E11" s="291">
        <v>0</v>
      </c>
      <c r="F11" s="291">
        <v>0</v>
      </c>
    </row>
    <row r="12" spans="1:15" ht="15" customHeight="1" x14ac:dyDescent="0.25">
      <c r="A12" s="269"/>
      <c r="B12" s="260" t="s">
        <v>305</v>
      </c>
      <c r="C12" s="263" t="s">
        <v>307</v>
      </c>
      <c r="D12" s="295">
        <v>1</v>
      </c>
      <c r="E12" s="291">
        <v>3</v>
      </c>
      <c r="F12" s="291">
        <v>1</v>
      </c>
    </row>
    <row r="13" spans="1:15" ht="15" customHeight="1" x14ac:dyDescent="0.25">
      <c r="A13" s="270" t="s">
        <v>306</v>
      </c>
      <c r="B13" s="260"/>
      <c r="C13" s="311" t="s">
        <v>308</v>
      </c>
      <c r="D13" s="298">
        <v>124.51130000000001</v>
      </c>
      <c r="E13" s="291">
        <v>115.3522</v>
      </c>
      <c r="F13" s="291">
        <v>122.8309</v>
      </c>
    </row>
    <row r="14" spans="1:15" ht="15" hidden="1" customHeight="1" x14ac:dyDescent="0.25">
      <c r="A14" s="269"/>
      <c r="B14" s="260" t="s">
        <v>318</v>
      </c>
      <c r="C14" s="312"/>
      <c r="D14" s="299"/>
      <c r="E14" s="283"/>
      <c r="F14" s="283"/>
    </row>
    <row r="15" spans="1:15" ht="15" hidden="1" customHeight="1" x14ac:dyDescent="0.25">
      <c r="A15" s="269"/>
      <c r="B15" s="260" t="s">
        <v>319</v>
      </c>
      <c r="C15" s="312"/>
      <c r="D15" s="299"/>
      <c r="E15" s="283"/>
      <c r="F15" s="283"/>
    </row>
    <row r="16" spans="1:15" ht="15" hidden="1" customHeight="1" x14ac:dyDescent="0.25">
      <c r="A16" s="269"/>
      <c r="B16" s="260" t="s">
        <v>320</v>
      </c>
      <c r="C16" s="312"/>
      <c r="D16" s="299"/>
      <c r="E16" s="283"/>
      <c r="F16" s="283"/>
    </row>
    <row r="17" spans="1:8" ht="15" hidden="1" customHeight="1" x14ac:dyDescent="0.25">
      <c r="A17" s="269"/>
      <c r="B17" s="260" t="s">
        <v>321</v>
      </c>
      <c r="C17" s="312"/>
      <c r="D17" s="299"/>
      <c r="E17" s="283"/>
      <c r="F17" s="283"/>
    </row>
    <row r="18" spans="1:8" ht="15" hidden="1" customHeight="1" x14ac:dyDescent="0.25">
      <c r="A18" s="269"/>
      <c r="B18" s="260" t="s">
        <v>322</v>
      </c>
      <c r="C18" s="312"/>
      <c r="D18" s="299"/>
      <c r="E18" s="283"/>
      <c r="F18" s="283"/>
    </row>
    <row r="19" spans="1:8" ht="15" hidden="1" customHeight="1" x14ac:dyDescent="0.25">
      <c r="A19" s="269"/>
      <c r="B19" s="260" t="s">
        <v>323</v>
      </c>
      <c r="C19" s="312"/>
      <c r="D19" s="299"/>
      <c r="E19" s="283"/>
      <c r="F19" s="283"/>
    </row>
    <row r="20" spans="1:8" ht="15" hidden="1" customHeight="1" x14ac:dyDescent="0.25">
      <c r="A20" s="269"/>
      <c r="B20" s="277" t="s">
        <v>326</v>
      </c>
      <c r="C20" s="313"/>
      <c r="D20" s="300"/>
      <c r="E20" s="284"/>
      <c r="F20" s="284"/>
    </row>
    <row r="21" spans="1:8" ht="15" customHeight="1" x14ac:dyDescent="0.25">
      <c r="A21" s="271" t="s">
        <v>350</v>
      </c>
      <c r="B21" s="261"/>
      <c r="C21" s="264" t="s">
        <v>308</v>
      </c>
      <c r="D21" s="298">
        <v>182.55289999999999</v>
      </c>
      <c r="E21" s="291">
        <v>194.43680000000001</v>
      </c>
      <c r="F21" s="291">
        <v>152.41640000000001</v>
      </c>
    </row>
    <row r="22" spans="1:8" ht="15" customHeight="1" x14ac:dyDescent="0.25">
      <c r="A22" s="272"/>
      <c r="B22" s="261" t="s">
        <v>349</v>
      </c>
      <c r="C22" s="279" t="s">
        <v>308</v>
      </c>
      <c r="D22" s="298">
        <v>126.03100000000001</v>
      </c>
      <c r="E22" s="291">
        <v>93.280799999999999</v>
      </c>
      <c r="F22" s="291">
        <v>111.61109999999999</v>
      </c>
    </row>
    <row r="23" spans="1:8" ht="15" customHeight="1" x14ac:dyDescent="0.25">
      <c r="A23" s="272" t="s">
        <v>360</v>
      </c>
      <c r="B23" s="261"/>
      <c r="C23" s="279" t="s">
        <v>308</v>
      </c>
      <c r="D23" s="298">
        <v>70.4512</v>
      </c>
      <c r="E23" s="291">
        <v>17.298999999999999</v>
      </c>
      <c r="F23" s="291">
        <v>47.700699999999998</v>
      </c>
    </row>
    <row r="24" spans="1:8" ht="15" customHeight="1" x14ac:dyDescent="0.25">
      <c r="A24" s="272" t="s">
        <v>351</v>
      </c>
      <c r="B24" s="261"/>
      <c r="C24" s="279" t="s">
        <v>353</v>
      </c>
      <c r="D24" s="309">
        <f>(4741.6141+5419.9549+7357.3092+2736.3369)/5280</f>
        <v>3.8362149810606057</v>
      </c>
      <c r="E24" s="310">
        <f>(4809.9859+12892.4589+2778.7173)/5280</f>
        <v>3.8790079734848479</v>
      </c>
      <c r="F24" s="310">
        <f>(4741.6141+5419.9549+2736.3369)/5280</f>
        <v>2.4427852083333335</v>
      </c>
    </row>
    <row r="25" spans="1:8" ht="15" customHeight="1" x14ac:dyDescent="0.25">
      <c r="A25" s="272" t="s">
        <v>352</v>
      </c>
      <c r="B25" s="261"/>
      <c r="C25" s="279" t="s">
        <v>353</v>
      </c>
      <c r="D25" s="309">
        <f>75876.191/5280</f>
        <v>14.370490719696971</v>
      </c>
      <c r="E25" s="310">
        <f>58240.2304/5280</f>
        <v>11.030346666666667</v>
      </c>
      <c r="F25" s="310">
        <f>71322.9769/5280</f>
        <v>13.508139564393938</v>
      </c>
    </row>
    <row r="26" spans="1:8" ht="15" hidden="1" customHeight="1" x14ac:dyDescent="0.25">
      <c r="A26" s="271" t="s">
        <v>331</v>
      </c>
      <c r="B26" s="261"/>
      <c r="C26" s="279" t="s">
        <v>311</v>
      </c>
      <c r="D26" s="291">
        <v>392.52839999999998</v>
      </c>
      <c r="E26" s="291">
        <v>392.52839999999998</v>
      </c>
      <c r="F26" s="291"/>
    </row>
    <row r="27" spans="1:8" ht="15" hidden="1" customHeight="1" x14ac:dyDescent="0.25">
      <c r="A27" s="280" t="s">
        <v>327</v>
      </c>
      <c r="B27" s="281"/>
      <c r="C27" s="279" t="s">
        <v>312</v>
      </c>
      <c r="D27" s="296"/>
      <c r="E27" s="285"/>
      <c r="F27" s="285"/>
      <c r="H27" s="257" t="s">
        <v>164</v>
      </c>
    </row>
    <row r="28" spans="1:8" ht="15" customHeight="1" x14ac:dyDescent="0.25">
      <c r="A28" s="271" t="s">
        <v>332</v>
      </c>
      <c r="B28" s="261"/>
      <c r="C28" s="314" t="s">
        <v>311</v>
      </c>
      <c r="D28" s="297"/>
      <c r="E28" s="286"/>
      <c r="F28" s="286"/>
    </row>
    <row r="29" spans="1:8" ht="15" customHeight="1" x14ac:dyDescent="0.25">
      <c r="A29" s="272"/>
      <c r="B29" s="262" t="s">
        <v>328</v>
      </c>
      <c r="C29" s="315"/>
      <c r="D29" s="301">
        <v>508.721</v>
      </c>
      <c r="E29" s="304">
        <v>503.74630000000002</v>
      </c>
      <c r="F29" s="301">
        <v>508.721</v>
      </c>
    </row>
    <row r="30" spans="1:8" ht="15" customHeight="1" x14ac:dyDescent="0.25">
      <c r="A30" s="275"/>
      <c r="B30" s="276" t="s">
        <v>329</v>
      </c>
      <c r="C30" s="315"/>
      <c r="D30" s="301">
        <v>2146.8905</v>
      </c>
      <c r="E30" s="304">
        <v>2195.8905</v>
      </c>
      <c r="F30" s="301">
        <v>2146.8905</v>
      </c>
    </row>
    <row r="31" spans="1:8" ht="15" customHeight="1" thickBot="1" x14ac:dyDescent="0.3">
      <c r="A31" s="273"/>
      <c r="B31" s="274" t="s">
        <v>330</v>
      </c>
      <c r="C31" s="316"/>
      <c r="D31" s="305">
        <v>3109.8015999999998</v>
      </c>
      <c r="E31" s="305">
        <v>1957.2431999999999</v>
      </c>
      <c r="F31" s="305">
        <v>3109.8015999999998</v>
      </c>
    </row>
    <row r="33" spans="2:4" ht="15" x14ac:dyDescent="0.25">
      <c r="B33" s="278" t="s">
        <v>313</v>
      </c>
      <c r="C33" s="259"/>
      <c r="D33" s="259"/>
    </row>
    <row r="34" spans="2:4" ht="15" x14ac:dyDescent="0.25">
      <c r="B34" s="257" t="s">
        <v>359</v>
      </c>
      <c r="C34" s="259"/>
      <c r="D34" s="259"/>
    </row>
    <row r="35" spans="2:4" ht="15" x14ac:dyDescent="0.25">
      <c r="B35" s="257" t="s">
        <v>354</v>
      </c>
      <c r="C35" s="259"/>
      <c r="D35" s="259"/>
    </row>
    <row r="36" spans="2:4" ht="15" hidden="1" x14ac:dyDescent="0.25">
      <c r="B36" s="257" t="s">
        <v>339</v>
      </c>
      <c r="C36" s="259"/>
      <c r="D36" s="259"/>
    </row>
    <row r="37" spans="2:4" ht="15" hidden="1" x14ac:dyDescent="0.25">
      <c r="B37" s="257" t="s">
        <v>335</v>
      </c>
      <c r="C37" s="259"/>
      <c r="D37" s="259"/>
    </row>
    <row r="38" spans="2:4" ht="15" hidden="1" x14ac:dyDescent="0.25">
      <c r="B38" s="257" t="s">
        <v>348</v>
      </c>
      <c r="C38" s="259"/>
      <c r="D38" s="259"/>
    </row>
    <row r="39" spans="2:4" hidden="1" x14ac:dyDescent="0.25">
      <c r="B39" s="257" t="s">
        <v>336</v>
      </c>
    </row>
    <row r="40" spans="2:4" x14ac:dyDescent="0.25">
      <c r="B40" s="257" t="s">
        <v>356</v>
      </c>
    </row>
  </sheetData>
  <mergeCells count="9">
    <mergeCell ref="C13:C20"/>
    <mergeCell ref="C28:C31"/>
    <mergeCell ref="B1:G1"/>
    <mergeCell ref="B2:G2"/>
    <mergeCell ref="A4:B5"/>
    <mergeCell ref="C4:C5"/>
    <mergeCell ref="D4:D5"/>
    <mergeCell ref="E4:E5"/>
    <mergeCell ref="F4:F5"/>
  </mergeCells>
  <printOptions horizontalCentered="1"/>
  <pageMargins left="0.25" right="0.25" top="0.75" bottom="0.5" header="0.3" footer="0.3"/>
  <pageSetup orientation="landscape" r:id="rId1"/>
  <headerFooter>
    <oddHeader>&amp;C
.
&amp;G</oddHeader>
    <oddFooter>&amp;L&amp;"Arial Narrow,Regular"&amp;10US 75 to Spur Alignment Matrix&amp;R&amp;"Arial Narrow,Regular"&amp;10&amp;D</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28F95-6BCF-4B14-9C0E-200977B129F1}">
  <sheetPr>
    <pageSetUpPr fitToPage="1"/>
  </sheetPr>
  <dimension ref="A1:S46"/>
  <sheetViews>
    <sheetView tabSelected="1" view="pageLayout" zoomScale="110" zoomScaleNormal="80" zoomScalePageLayoutView="110" workbookViewId="0">
      <selection activeCell="I42" sqref="I42"/>
    </sheetView>
  </sheetViews>
  <sheetFormatPr defaultColWidth="9.140625" defaultRowHeight="12.75" outlineLevelCol="1" x14ac:dyDescent="0.25"/>
  <cols>
    <col min="1" max="1" width="2.7109375" style="257" customWidth="1"/>
    <col min="2" max="2" width="32.7109375" style="257" customWidth="1"/>
    <col min="3" max="3" width="5.7109375" style="257" customWidth="1"/>
    <col min="4" max="8" width="10.7109375" style="257" customWidth="1"/>
    <col min="9" max="10" width="10.7109375" style="257" customWidth="1" outlineLevel="1"/>
    <col min="11" max="11" width="10.7109375" style="257" customWidth="1"/>
    <col min="12" max="16384" width="9.140625" style="257"/>
  </cols>
  <sheetData>
    <row r="1" spans="1:19" s="255" customFormat="1" ht="18" x14ac:dyDescent="0.25">
      <c r="B1" s="317" t="s">
        <v>316</v>
      </c>
      <c r="C1" s="317"/>
      <c r="D1" s="317"/>
      <c r="E1" s="317"/>
      <c r="F1" s="317"/>
      <c r="G1" s="317"/>
      <c r="H1" s="317"/>
      <c r="I1" s="317"/>
      <c r="J1" s="317"/>
      <c r="K1" s="317"/>
    </row>
    <row r="2" spans="1:19" s="255" customFormat="1" ht="18" x14ac:dyDescent="0.25">
      <c r="B2" s="317" t="s">
        <v>310</v>
      </c>
      <c r="C2" s="317"/>
      <c r="D2" s="317"/>
      <c r="E2" s="317"/>
      <c r="F2" s="317"/>
      <c r="G2" s="317"/>
      <c r="H2" s="317"/>
      <c r="I2" s="317"/>
      <c r="J2" s="317"/>
      <c r="K2" s="317"/>
      <c r="L2" s="256"/>
      <c r="M2" s="256"/>
      <c r="N2" s="256"/>
      <c r="O2" s="256"/>
      <c r="P2" s="256"/>
      <c r="Q2" s="256"/>
      <c r="R2" s="256"/>
      <c r="S2" s="256"/>
    </row>
    <row r="3" spans="1:19" ht="9.9499999999999993" customHeight="1" thickBot="1" x14ac:dyDescent="0.3"/>
    <row r="4" spans="1:19" ht="20.100000000000001" customHeight="1" x14ac:dyDescent="0.25">
      <c r="A4" s="318" t="s">
        <v>317</v>
      </c>
      <c r="B4" s="319"/>
      <c r="C4" s="322" t="s">
        <v>309</v>
      </c>
      <c r="D4" s="338" t="s">
        <v>346</v>
      </c>
      <c r="E4" s="334" t="s">
        <v>337</v>
      </c>
      <c r="F4" s="336" t="s">
        <v>338</v>
      </c>
      <c r="G4" s="330" t="s">
        <v>333</v>
      </c>
      <c r="H4" s="324" t="s">
        <v>334</v>
      </c>
      <c r="I4" s="332" t="s">
        <v>340</v>
      </c>
    </row>
    <row r="5" spans="1:19" s="258" customFormat="1" ht="20.100000000000001" customHeight="1" thickBot="1" x14ac:dyDescent="0.3">
      <c r="A5" s="320"/>
      <c r="B5" s="321"/>
      <c r="C5" s="323"/>
      <c r="D5" s="339"/>
      <c r="E5" s="335"/>
      <c r="F5" s="337"/>
      <c r="G5" s="331"/>
      <c r="H5" s="325"/>
      <c r="I5" s="333"/>
    </row>
    <row r="6" spans="1:19" s="258" customFormat="1" ht="15" customHeight="1" x14ac:dyDescent="0.25">
      <c r="A6" s="265" t="s">
        <v>324</v>
      </c>
      <c r="B6" s="266"/>
      <c r="C6" s="267"/>
      <c r="D6" s="294"/>
      <c r="E6" s="287"/>
      <c r="F6" s="282"/>
      <c r="G6" s="282"/>
      <c r="H6" s="282"/>
      <c r="I6" s="282"/>
    </row>
    <row r="7" spans="1:19" ht="15" customHeight="1" x14ac:dyDescent="0.25">
      <c r="A7" s="268"/>
      <c r="B7" s="260" t="s">
        <v>314</v>
      </c>
      <c r="C7" s="263" t="s">
        <v>307</v>
      </c>
      <c r="D7" s="295">
        <v>11</v>
      </c>
      <c r="E7" s="293">
        <v>5</v>
      </c>
      <c r="F7" s="292">
        <v>5</v>
      </c>
      <c r="G7" s="291">
        <v>5</v>
      </c>
      <c r="H7" s="292">
        <v>5</v>
      </c>
      <c r="I7" s="292">
        <v>5</v>
      </c>
    </row>
    <row r="8" spans="1:19" ht="15" customHeight="1" x14ac:dyDescent="0.25">
      <c r="A8" s="268"/>
      <c r="B8" s="260" t="s">
        <v>303</v>
      </c>
      <c r="C8" s="263" t="s">
        <v>307</v>
      </c>
      <c r="D8" s="295">
        <v>3</v>
      </c>
      <c r="E8" s="293">
        <v>7</v>
      </c>
      <c r="F8" s="292">
        <v>7</v>
      </c>
      <c r="G8" s="291">
        <v>5</v>
      </c>
      <c r="H8" s="292">
        <v>5</v>
      </c>
      <c r="I8" s="292">
        <v>5</v>
      </c>
    </row>
    <row r="9" spans="1:19" ht="15" customHeight="1" x14ac:dyDescent="0.25">
      <c r="A9" s="269" t="s">
        <v>325</v>
      </c>
      <c r="B9" s="260"/>
      <c r="C9" s="263"/>
      <c r="D9" s="295"/>
      <c r="E9" s="293"/>
      <c r="F9" s="292"/>
      <c r="G9" s="292"/>
      <c r="H9" s="292"/>
      <c r="I9" s="292"/>
    </row>
    <row r="10" spans="1:19" ht="15" customHeight="1" x14ac:dyDescent="0.25">
      <c r="A10" s="269"/>
      <c r="B10" s="260" t="s">
        <v>315</v>
      </c>
      <c r="C10" s="263" t="s">
        <v>307</v>
      </c>
      <c r="D10" s="295">
        <v>0</v>
      </c>
      <c r="E10" s="293">
        <v>1</v>
      </c>
      <c r="F10" s="292">
        <v>1</v>
      </c>
      <c r="G10" s="291">
        <v>1</v>
      </c>
      <c r="H10" s="292">
        <v>1</v>
      </c>
      <c r="I10" s="292">
        <v>1</v>
      </c>
    </row>
    <row r="11" spans="1:19" ht="15" customHeight="1" x14ac:dyDescent="0.25">
      <c r="A11" s="269"/>
      <c r="B11" s="260" t="s">
        <v>304</v>
      </c>
      <c r="C11" s="263" t="s">
        <v>307</v>
      </c>
      <c r="D11" s="295">
        <v>0</v>
      </c>
      <c r="E11" s="293">
        <v>0</v>
      </c>
      <c r="F11" s="292">
        <v>0</v>
      </c>
      <c r="G11" s="291">
        <v>0</v>
      </c>
      <c r="H11" s="292">
        <v>0</v>
      </c>
      <c r="I11" s="292">
        <v>0</v>
      </c>
    </row>
    <row r="12" spans="1:19" ht="15" customHeight="1" x14ac:dyDescent="0.25">
      <c r="A12" s="269"/>
      <c r="B12" s="260" t="s">
        <v>305</v>
      </c>
      <c r="C12" s="263" t="s">
        <v>307</v>
      </c>
      <c r="D12" s="295">
        <v>1</v>
      </c>
      <c r="E12" s="293">
        <v>4</v>
      </c>
      <c r="F12" s="292">
        <v>4</v>
      </c>
      <c r="G12" s="291">
        <v>2</v>
      </c>
      <c r="H12" s="292">
        <v>2</v>
      </c>
      <c r="I12" s="292">
        <v>2</v>
      </c>
    </row>
    <row r="13" spans="1:19" ht="15" customHeight="1" x14ac:dyDescent="0.25">
      <c r="A13" s="270" t="s">
        <v>306</v>
      </c>
      <c r="B13" s="260"/>
      <c r="C13" s="311" t="s">
        <v>308</v>
      </c>
      <c r="D13" s="298">
        <v>42.345700000000001</v>
      </c>
      <c r="E13" s="293">
        <v>52.274099999999997</v>
      </c>
      <c r="F13" s="292">
        <v>47.431100000000001</v>
      </c>
      <c r="G13" s="291">
        <v>40.076900000000002</v>
      </c>
      <c r="H13" s="292">
        <v>38.763199999999998</v>
      </c>
      <c r="I13" s="292">
        <v>42.358899999999998</v>
      </c>
    </row>
    <row r="14" spans="1:19" ht="15" hidden="1" customHeight="1" x14ac:dyDescent="0.25">
      <c r="A14" s="269"/>
      <c r="B14" s="260" t="s">
        <v>318</v>
      </c>
      <c r="C14" s="312"/>
      <c r="D14" s="299"/>
      <c r="E14" s="288"/>
      <c r="F14" s="283"/>
      <c r="G14" s="283"/>
      <c r="H14" s="283"/>
      <c r="I14" s="283"/>
    </row>
    <row r="15" spans="1:19" ht="15" hidden="1" customHeight="1" x14ac:dyDescent="0.25">
      <c r="A15" s="269"/>
      <c r="B15" s="260" t="s">
        <v>319</v>
      </c>
      <c r="C15" s="312"/>
      <c r="D15" s="299"/>
      <c r="E15" s="288"/>
      <c r="F15" s="283"/>
      <c r="G15" s="283"/>
      <c r="H15" s="283"/>
      <c r="I15" s="283"/>
    </row>
    <row r="16" spans="1:19" ht="15" hidden="1" customHeight="1" x14ac:dyDescent="0.25">
      <c r="A16" s="269"/>
      <c r="B16" s="260" t="s">
        <v>320</v>
      </c>
      <c r="C16" s="312"/>
      <c r="D16" s="299"/>
      <c r="E16" s="288"/>
      <c r="F16" s="283"/>
      <c r="G16" s="283"/>
      <c r="H16" s="283"/>
      <c r="I16" s="283"/>
    </row>
    <row r="17" spans="1:12" ht="15" hidden="1" customHeight="1" x14ac:dyDescent="0.25">
      <c r="A17" s="269"/>
      <c r="B17" s="260" t="s">
        <v>321</v>
      </c>
      <c r="C17" s="312"/>
      <c r="D17" s="299"/>
      <c r="E17" s="288"/>
      <c r="F17" s="283"/>
      <c r="G17" s="283"/>
      <c r="H17" s="283"/>
      <c r="I17" s="283"/>
    </row>
    <row r="18" spans="1:12" ht="15" hidden="1" customHeight="1" x14ac:dyDescent="0.25">
      <c r="A18" s="269"/>
      <c r="B18" s="260" t="s">
        <v>322</v>
      </c>
      <c r="C18" s="312"/>
      <c r="D18" s="299"/>
      <c r="E18" s="288"/>
      <c r="F18" s="283"/>
      <c r="G18" s="283"/>
      <c r="H18" s="283"/>
      <c r="I18" s="283"/>
    </row>
    <row r="19" spans="1:12" ht="15" hidden="1" customHeight="1" x14ac:dyDescent="0.25">
      <c r="A19" s="269"/>
      <c r="B19" s="260" t="s">
        <v>323</v>
      </c>
      <c r="C19" s="312"/>
      <c r="D19" s="299"/>
      <c r="E19" s="288"/>
      <c r="F19" s="283"/>
      <c r="G19" s="283"/>
      <c r="H19" s="283"/>
      <c r="I19" s="283"/>
    </row>
    <row r="20" spans="1:12" ht="15" hidden="1" customHeight="1" x14ac:dyDescent="0.25">
      <c r="A20" s="269"/>
      <c r="B20" s="277" t="s">
        <v>326</v>
      </c>
      <c r="C20" s="313"/>
      <c r="D20" s="300"/>
      <c r="E20" s="289"/>
      <c r="F20" s="284"/>
      <c r="G20" s="284"/>
      <c r="H20" s="284"/>
      <c r="I20" s="284"/>
    </row>
    <row r="21" spans="1:12" ht="15" customHeight="1" x14ac:dyDescent="0.25">
      <c r="A21" s="271" t="s">
        <v>350</v>
      </c>
      <c r="B21" s="261"/>
      <c r="C21" s="264" t="s">
        <v>308</v>
      </c>
      <c r="D21" s="298">
        <v>170.23609999999999</v>
      </c>
      <c r="E21" s="293">
        <v>186.59819999999999</v>
      </c>
      <c r="F21" s="292">
        <v>153.24090000000001</v>
      </c>
      <c r="G21" s="291">
        <v>211.5078</v>
      </c>
      <c r="H21" s="292">
        <v>211.30699999999999</v>
      </c>
      <c r="I21" s="292">
        <v>215.6138</v>
      </c>
    </row>
    <row r="22" spans="1:12" ht="15" customHeight="1" x14ac:dyDescent="0.25">
      <c r="A22" s="272"/>
      <c r="B22" s="261" t="s">
        <v>349</v>
      </c>
      <c r="C22" s="279" t="s">
        <v>308</v>
      </c>
      <c r="D22" s="298">
        <v>57.1753</v>
      </c>
      <c r="E22" s="293">
        <v>0</v>
      </c>
      <c r="F22" s="292">
        <v>0</v>
      </c>
      <c r="G22" s="291">
        <v>62.2102</v>
      </c>
      <c r="H22" s="292">
        <v>60.333199999999998</v>
      </c>
      <c r="I22" s="292">
        <v>60.333199999999998</v>
      </c>
    </row>
    <row r="23" spans="1:12" ht="15" customHeight="1" x14ac:dyDescent="0.25">
      <c r="A23" s="272" t="s">
        <v>351</v>
      </c>
      <c r="B23" s="261"/>
      <c r="C23" s="279" t="s">
        <v>353</v>
      </c>
      <c r="D23" s="308">
        <f>4741.6314/5280</f>
        <v>0.89803625000000009</v>
      </c>
      <c r="E23" s="293">
        <v>0</v>
      </c>
      <c r="F23" s="292">
        <v>0</v>
      </c>
      <c r="G23" s="285">
        <f>(4809.9859+4190.5691)/5280</f>
        <v>1.7046505681818183</v>
      </c>
      <c r="H23" s="283">
        <f>(4668.661+3903.1285)/5280</f>
        <v>1.6234449810606058</v>
      </c>
      <c r="I23" s="283">
        <f>(4668.661+3903.1285)/5280</f>
        <v>1.6234449810606058</v>
      </c>
    </row>
    <row r="24" spans="1:12" ht="15" customHeight="1" x14ac:dyDescent="0.25">
      <c r="A24" s="272" t="s">
        <v>352</v>
      </c>
      <c r="B24" s="261"/>
      <c r="C24" s="279" t="s">
        <v>353</v>
      </c>
      <c r="D24" s="308">
        <f>45970.8155/5280</f>
        <v>8.70659384469697</v>
      </c>
      <c r="E24" s="288">
        <f>43142.9307/5280</f>
        <v>8.1710096022727274</v>
      </c>
      <c r="F24" s="283">
        <f>39194.6248/5280</f>
        <v>7.4232243939393934</v>
      </c>
      <c r="G24" s="285">
        <f>40914.2371/5280</f>
        <v>7.7489085416666663</v>
      </c>
      <c r="H24" s="283">
        <f>40885.0262/5280</f>
        <v>7.7433761742424245</v>
      </c>
      <c r="I24" s="283">
        <f>42575.283/5280</f>
        <v>8.0635005681818193</v>
      </c>
    </row>
    <row r="25" spans="1:12" ht="15" customHeight="1" x14ac:dyDescent="0.25">
      <c r="A25" s="271" t="s">
        <v>331</v>
      </c>
      <c r="B25" s="261"/>
      <c r="C25" s="279" t="s">
        <v>311</v>
      </c>
      <c r="D25" s="298">
        <v>392.52839999999998</v>
      </c>
      <c r="E25" s="293">
        <v>532.56960000000004</v>
      </c>
      <c r="F25" s="292">
        <v>587.10940000000005</v>
      </c>
      <c r="G25" s="291">
        <v>392.52839999999998</v>
      </c>
      <c r="H25" s="292">
        <v>100.4723</v>
      </c>
      <c r="I25" s="292">
        <v>92.843800000000002</v>
      </c>
    </row>
    <row r="26" spans="1:12" ht="15" hidden="1" customHeight="1" x14ac:dyDescent="0.25">
      <c r="A26" s="280" t="s">
        <v>327</v>
      </c>
      <c r="B26" s="281"/>
      <c r="C26" s="279" t="s">
        <v>312</v>
      </c>
      <c r="D26" s="296"/>
      <c r="E26" s="290"/>
      <c r="F26" s="285"/>
      <c r="G26" s="285"/>
      <c r="H26" s="285"/>
      <c r="I26" s="285"/>
      <c r="L26" s="257" t="s">
        <v>164</v>
      </c>
    </row>
    <row r="27" spans="1:12" ht="15" customHeight="1" x14ac:dyDescent="0.25">
      <c r="A27" s="271" t="s">
        <v>332</v>
      </c>
      <c r="B27" s="261"/>
      <c r="C27" s="314" t="s">
        <v>311</v>
      </c>
      <c r="D27" s="297"/>
      <c r="E27" s="290"/>
      <c r="F27" s="285"/>
      <c r="G27" s="286"/>
      <c r="H27" s="285"/>
      <c r="I27" s="285"/>
    </row>
    <row r="28" spans="1:12" ht="15" customHeight="1" x14ac:dyDescent="0.25">
      <c r="A28" s="272"/>
      <c r="B28" s="262" t="s">
        <v>328</v>
      </c>
      <c r="C28" s="315"/>
      <c r="D28" s="301">
        <v>493.21550000000002</v>
      </c>
      <c r="E28" s="302">
        <v>3201.3557000000001</v>
      </c>
      <c r="F28" s="303">
        <v>3205.1201999999998</v>
      </c>
      <c r="G28" s="304">
        <v>503.74630000000002</v>
      </c>
      <c r="H28" s="303">
        <v>530.69259999999997</v>
      </c>
      <c r="I28" s="303">
        <v>530.69259999999997</v>
      </c>
    </row>
    <row r="29" spans="1:12" ht="15" customHeight="1" x14ac:dyDescent="0.25">
      <c r="A29" s="275"/>
      <c r="B29" s="276" t="s">
        <v>329</v>
      </c>
      <c r="C29" s="315"/>
      <c r="D29" s="301">
        <v>2195.8905</v>
      </c>
      <c r="E29" s="302">
        <v>206.9237</v>
      </c>
      <c r="F29" s="303">
        <v>188.6583</v>
      </c>
      <c r="G29" s="304">
        <v>2195.8905</v>
      </c>
      <c r="H29" s="303">
        <v>2002.7926</v>
      </c>
      <c r="I29" s="303">
        <v>2002.7926</v>
      </c>
    </row>
    <row r="30" spans="1:12" ht="15" customHeight="1" thickBot="1" x14ac:dyDescent="0.3">
      <c r="A30" s="273"/>
      <c r="B30" s="274" t="s">
        <v>330</v>
      </c>
      <c r="C30" s="316"/>
      <c r="D30" s="305">
        <v>3098.9695000000002</v>
      </c>
      <c r="E30" s="306">
        <v>31.865200000000002</v>
      </c>
      <c r="F30" s="307">
        <v>47.295900000000003</v>
      </c>
      <c r="G30" s="305">
        <v>1957.2431999999999</v>
      </c>
      <c r="H30" s="307">
        <v>1957.2431999999999</v>
      </c>
      <c r="I30" s="307">
        <v>1957.2431999999999</v>
      </c>
    </row>
    <row r="32" spans="1:12" ht="15" x14ac:dyDescent="0.25">
      <c r="B32" s="278" t="s">
        <v>313</v>
      </c>
      <c r="C32" s="259"/>
      <c r="D32" s="259"/>
      <c r="E32" s="259"/>
      <c r="F32" s="259"/>
    </row>
    <row r="33" spans="2:6" ht="15" x14ac:dyDescent="0.25">
      <c r="B33" s="257" t="s">
        <v>355</v>
      </c>
      <c r="C33" s="259"/>
      <c r="D33" s="259"/>
      <c r="E33" s="259"/>
      <c r="F33" s="259"/>
    </row>
    <row r="34" spans="2:6" ht="15" x14ac:dyDescent="0.25">
      <c r="B34" s="257" t="s">
        <v>354</v>
      </c>
      <c r="C34" s="259"/>
      <c r="D34" s="259"/>
      <c r="E34" s="259"/>
      <c r="F34" s="259"/>
    </row>
    <row r="35" spans="2:6" ht="15" hidden="1" x14ac:dyDescent="0.25">
      <c r="B35" s="257" t="s">
        <v>339</v>
      </c>
      <c r="C35" s="259"/>
      <c r="D35" s="259"/>
      <c r="E35" s="259"/>
      <c r="F35" s="259"/>
    </row>
    <row r="36" spans="2:6" ht="15" hidden="1" x14ac:dyDescent="0.25">
      <c r="B36" s="257" t="s">
        <v>335</v>
      </c>
      <c r="C36" s="259"/>
      <c r="D36" s="259"/>
      <c r="E36" s="259"/>
      <c r="F36" s="259"/>
    </row>
    <row r="37" spans="2:6" ht="15" hidden="1" x14ac:dyDescent="0.25">
      <c r="B37" s="257" t="s">
        <v>348</v>
      </c>
      <c r="C37" s="259"/>
      <c r="D37" s="259"/>
      <c r="E37" s="259"/>
      <c r="F37" s="259"/>
    </row>
    <row r="38" spans="2:6" hidden="1" x14ac:dyDescent="0.25">
      <c r="B38" s="257" t="s">
        <v>336</v>
      </c>
    </row>
    <row r="39" spans="2:6" x14ac:dyDescent="0.25">
      <c r="B39" s="257" t="s">
        <v>356</v>
      </c>
    </row>
    <row r="41" spans="2:6" x14ac:dyDescent="0.25">
      <c r="B41" s="257" t="s">
        <v>347</v>
      </c>
    </row>
    <row r="42" spans="2:6" x14ac:dyDescent="0.25">
      <c r="B42" s="257" t="s">
        <v>344</v>
      </c>
    </row>
    <row r="43" spans="2:6" x14ac:dyDescent="0.25">
      <c r="B43" s="257" t="s">
        <v>345</v>
      </c>
    </row>
    <row r="44" spans="2:6" x14ac:dyDescent="0.25">
      <c r="B44" s="257" t="s">
        <v>341</v>
      </c>
    </row>
    <row r="45" spans="2:6" x14ac:dyDescent="0.25">
      <c r="B45" s="257" t="s">
        <v>342</v>
      </c>
    </row>
    <row r="46" spans="2:6" x14ac:dyDescent="0.25">
      <c r="B46" s="257" t="s">
        <v>343</v>
      </c>
    </row>
  </sheetData>
  <mergeCells count="12">
    <mergeCell ref="C27:C30"/>
    <mergeCell ref="B1:K1"/>
    <mergeCell ref="C4:C5"/>
    <mergeCell ref="A4:B5"/>
    <mergeCell ref="C13:C20"/>
    <mergeCell ref="B2:K2"/>
    <mergeCell ref="G4:G5"/>
    <mergeCell ref="H4:H5"/>
    <mergeCell ref="I4:I5"/>
    <mergeCell ref="E4:E5"/>
    <mergeCell ref="F4:F5"/>
    <mergeCell ref="D4:D5"/>
  </mergeCells>
  <conditionalFormatting sqref="E28:I28">
    <cfRule type="colorScale" priority="40">
      <colorScale>
        <cfvo type="min"/>
        <cfvo type="max"/>
        <color rgb="FF63BE7B"/>
        <color rgb="FFFCFCFF"/>
      </colorScale>
    </cfRule>
  </conditionalFormatting>
  <conditionalFormatting sqref="E30:I30">
    <cfRule type="colorScale" priority="38">
      <colorScale>
        <cfvo type="min"/>
        <cfvo type="max"/>
        <color rgb="FF63BE7B"/>
        <color rgb="FFFCFCFF"/>
      </colorScale>
    </cfRule>
  </conditionalFormatting>
  <conditionalFormatting sqref="E7:I7">
    <cfRule type="colorScale" priority="37">
      <colorScale>
        <cfvo type="min"/>
        <cfvo type="max"/>
        <color rgb="FF63BE7B"/>
        <color rgb="FFFCFCFF"/>
      </colorScale>
    </cfRule>
  </conditionalFormatting>
  <conditionalFormatting sqref="D28:I28">
    <cfRule type="colorScale" priority="6">
      <colorScale>
        <cfvo type="min"/>
        <cfvo type="max"/>
        <color rgb="FFFCFCFF"/>
        <color rgb="FF63BE7B"/>
      </colorScale>
    </cfRule>
  </conditionalFormatting>
  <conditionalFormatting sqref="D30:I30">
    <cfRule type="colorScale" priority="3">
      <colorScale>
        <cfvo type="min"/>
        <cfvo type="max"/>
        <color rgb="FFFCFCFF"/>
        <color rgb="FF63BE7B"/>
      </colorScale>
    </cfRule>
  </conditionalFormatting>
  <conditionalFormatting sqref="D7:I7">
    <cfRule type="colorScale" priority="21">
      <colorScale>
        <cfvo type="min"/>
        <cfvo type="max"/>
        <color rgb="FF63BE7B"/>
        <color rgb="FFFCFCFF"/>
      </colorScale>
    </cfRule>
  </conditionalFormatting>
  <conditionalFormatting sqref="E8:I8">
    <cfRule type="colorScale" priority="20">
      <colorScale>
        <cfvo type="min"/>
        <cfvo type="max"/>
        <color rgb="FF63BE7B"/>
        <color rgb="FFFCFCFF"/>
      </colorScale>
    </cfRule>
  </conditionalFormatting>
  <conditionalFormatting sqref="D8:I8">
    <cfRule type="colorScale" priority="19">
      <colorScale>
        <cfvo type="min"/>
        <cfvo type="max"/>
        <color rgb="FF63BE7B"/>
        <color rgb="FFFCFCFF"/>
      </colorScale>
    </cfRule>
  </conditionalFormatting>
  <conditionalFormatting sqref="E10:I10">
    <cfRule type="colorScale" priority="18">
      <colorScale>
        <cfvo type="min"/>
        <cfvo type="max"/>
        <color rgb="FF63BE7B"/>
        <color rgb="FFFCFCFF"/>
      </colorScale>
    </cfRule>
  </conditionalFormatting>
  <conditionalFormatting sqref="D10:I10">
    <cfRule type="colorScale" priority="17">
      <colorScale>
        <cfvo type="min"/>
        <cfvo type="max"/>
        <color rgb="FF63BE7B"/>
        <color rgb="FFFCFCFF"/>
      </colorScale>
    </cfRule>
  </conditionalFormatting>
  <conditionalFormatting sqref="E11:I11">
    <cfRule type="colorScale" priority="16">
      <colorScale>
        <cfvo type="min"/>
        <cfvo type="max"/>
        <color rgb="FF63BE7B"/>
        <color rgb="FFFCFCFF"/>
      </colorScale>
    </cfRule>
  </conditionalFormatting>
  <conditionalFormatting sqref="D11:I11">
    <cfRule type="colorScale" priority="15">
      <colorScale>
        <cfvo type="min"/>
        <cfvo type="max"/>
        <color rgb="FF63BE7B"/>
        <color rgb="FFFCFCFF"/>
      </colorScale>
    </cfRule>
  </conditionalFormatting>
  <conditionalFormatting sqref="E12:I12">
    <cfRule type="colorScale" priority="14">
      <colorScale>
        <cfvo type="min"/>
        <cfvo type="max"/>
        <color rgb="FF63BE7B"/>
        <color rgb="FFFCFCFF"/>
      </colorScale>
    </cfRule>
  </conditionalFormatting>
  <conditionalFormatting sqref="D12:I12">
    <cfRule type="colorScale" priority="13">
      <colorScale>
        <cfvo type="min"/>
        <cfvo type="max"/>
        <color rgb="FF63BE7B"/>
        <color rgb="FFFCFCFF"/>
      </colorScale>
    </cfRule>
  </conditionalFormatting>
  <conditionalFormatting sqref="E13:I13">
    <cfRule type="colorScale" priority="12">
      <colorScale>
        <cfvo type="min"/>
        <cfvo type="max"/>
        <color rgb="FF63BE7B"/>
        <color rgb="FFFCFCFF"/>
      </colorScale>
    </cfRule>
  </conditionalFormatting>
  <conditionalFormatting sqref="D13:I13">
    <cfRule type="colorScale" priority="11">
      <colorScale>
        <cfvo type="min"/>
        <cfvo type="max"/>
        <color rgb="FF63BE7B"/>
        <color rgb="FFFCFCFF"/>
      </colorScale>
    </cfRule>
  </conditionalFormatting>
  <conditionalFormatting sqref="E21:I24">
    <cfRule type="colorScale" priority="10">
      <colorScale>
        <cfvo type="min"/>
        <cfvo type="max"/>
        <color rgb="FF63BE7B"/>
        <color rgb="FFFCFCFF"/>
      </colorScale>
    </cfRule>
  </conditionalFormatting>
  <conditionalFormatting sqref="D21:I24">
    <cfRule type="colorScale" priority="9">
      <colorScale>
        <cfvo type="min"/>
        <cfvo type="max"/>
        <color rgb="FF63BE7B"/>
        <color rgb="FFFCFCFF"/>
      </colorScale>
    </cfRule>
  </conditionalFormatting>
  <conditionalFormatting sqref="E25:I25">
    <cfRule type="colorScale" priority="8">
      <colorScale>
        <cfvo type="min"/>
        <cfvo type="max"/>
        <color rgb="FF63BE7B"/>
        <color rgb="FFFCFCFF"/>
      </colorScale>
    </cfRule>
  </conditionalFormatting>
  <conditionalFormatting sqref="D25:I25">
    <cfRule type="colorScale" priority="7">
      <colorScale>
        <cfvo type="min"/>
        <cfvo type="max"/>
        <color rgb="FF63BE7B"/>
        <color rgb="FFFCFCFF"/>
      </colorScale>
    </cfRule>
  </conditionalFormatting>
  <conditionalFormatting sqref="E29:I29">
    <cfRule type="colorScale" priority="5">
      <colorScale>
        <cfvo type="min"/>
        <cfvo type="max"/>
        <color rgb="FF63BE7B"/>
        <color rgb="FFFCFCFF"/>
      </colorScale>
    </cfRule>
  </conditionalFormatting>
  <conditionalFormatting sqref="D29:I29">
    <cfRule type="colorScale" priority="4">
      <colorScale>
        <cfvo type="min"/>
        <cfvo type="max"/>
        <color rgb="FFFCFCFF"/>
        <color rgb="FF63BE7B"/>
      </colorScale>
    </cfRule>
  </conditionalFormatting>
  <conditionalFormatting sqref="D22:I22">
    <cfRule type="colorScale" priority="2">
      <colorScale>
        <cfvo type="min"/>
        <cfvo type="max"/>
        <color rgb="FF63BE7B"/>
        <color rgb="FFFCFCFF"/>
      </colorScale>
    </cfRule>
  </conditionalFormatting>
  <conditionalFormatting sqref="D24:I24">
    <cfRule type="colorScale" priority="1">
      <colorScale>
        <cfvo type="min"/>
        <cfvo type="max"/>
        <color rgb="FF63BE7B"/>
        <color rgb="FFFCFCFF"/>
      </colorScale>
    </cfRule>
  </conditionalFormatting>
  <printOptions horizontalCentered="1"/>
  <pageMargins left="0.25" right="0.25" top="0.75" bottom="0.5" header="0.3" footer="0.3"/>
  <pageSetup orientation="landscape" r:id="rId1"/>
  <headerFooter>
    <oddHeader>&amp;C
.
&amp;G</oddHeader>
    <oddFooter>&amp;L&amp;"Arial Narrow,Regular"&amp;10&amp;F&amp;R&amp;"Arial Narrow,Regular"&amp;10&amp;D</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V69"/>
  <sheetViews>
    <sheetView topLeftCell="E8" zoomScale="50" zoomScaleNormal="50" workbookViewId="0">
      <selection activeCell="T21" sqref="T21"/>
    </sheetView>
  </sheetViews>
  <sheetFormatPr defaultColWidth="9.140625" defaultRowHeight="15" x14ac:dyDescent="0.25"/>
  <cols>
    <col min="1" max="4" width="44.85546875" style="75" hidden="1" customWidth="1"/>
    <col min="5" max="5" width="69.140625" customWidth="1"/>
    <col min="6" max="6" width="23.42578125" hidden="1" customWidth="1"/>
    <col min="7" max="7" width="20.7109375" style="75" customWidth="1"/>
    <col min="8" max="8" width="25.7109375" style="75" hidden="1" customWidth="1"/>
    <col min="9" max="9" width="20.7109375" style="75" customWidth="1"/>
    <col min="10" max="10" width="25.7109375" style="75" hidden="1" customWidth="1"/>
    <col min="11" max="11" width="20.7109375" style="75" customWidth="1"/>
    <col min="12" max="12" width="25.7109375" style="75" hidden="1" customWidth="1"/>
    <col min="13" max="13" width="20.7109375" style="75" customWidth="1"/>
    <col min="14" max="14" width="25.7109375" style="75" hidden="1" customWidth="1"/>
    <col min="15" max="15" width="20.7109375" style="75" customWidth="1"/>
    <col min="16" max="16" width="25.7109375" style="75" hidden="1" customWidth="1"/>
    <col min="17" max="17" width="20.7109375" style="75" customWidth="1"/>
    <col min="18" max="18" width="25.7109375" style="75" hidden="1" customWidth="1"/>
    <col min="19" max="19" width="21.85546875" style="75" hidden="1" customWidth="1"/>
    <col min="20" max="20" width="147.140625" style="75" customWidth="1"/>
    <col min="21" max="16384" width="9.140625" style="75"/>
  </cols>
  <sheetData>
    <row r="1" spans="1:22" ht="46.5" x14ac:dyDescent="0.7">
      <c r="E1" s="341" t="s">
        <v>96</v>
      </c>
      <c r="F1" s="341"/>
      <c r="G1" s="341"/>
      <c r="H1" s="341"/>
      <c r="I1" s="341"/>
      <c r="J1" s="341"/>
      <c r="K1" s="341"/>
      <c r="L1" s="341"/>
      <c r="M1" s="341"/>
      <c r="N1" s="341"/>
      <c r="O1" s="341"/>
      <c r="P1" s="341"/>
      <c r="Q1" s="341"/>
      <c r="R1" s="341"/>
    </row>
    <row r="2" spans="1:22" customFormat="1" ht="17.25" customHeight="1" thickBot="1" x14ac:dyDescent="0.3">
      <c r="E2" s="79"/>
      <c r="F2" s="79"/>
    </row>
    <row r="3" spans="1:22" customFormat="1" ht="105.75" thickBot="1" x14ac:dyDescent="0.5">
      <c r="A3" s="201" t="s">
        <v>128</v>
      </c>
      <c r="B3" s="227"/>
      <c r="C3" s="227"/>
      <c r="D3" s="227"/>
      <c r="E3" s="198" t="s">
        <v>0</v>
      </c>
      <c r="F3" s="201" t="s">
        <v>104</v>
      </c>
      <c r="G3" s="198" t="s">
        <v>90</v>
      </c>
      <c r="H3" s="199" t="s">
        <v>102</v>
      </c>
      <c r="I3" s="199" t="s">
        <v>282</v>
      </c>
      <c r="J3" s="199" t="s">
        <v>82</v>
      </c>
      <c r="K3" s="199" t="s">
        <v>283</v>
      </c>
      <c r="L3" s="199" t="s">
        <v>87</v>
      </c>
      <c r="M3" s="199" t="s">
        <v>284</v>
      </c>
      <c r="N3" s="199" t="s">
        <v>86</v>
      </c>
      <c r="O3" s="199" t="s">
        <v>285</v>
      </c>
      <c r="P3" s="199" t="s">
        <v>85</v>
      </c>
      <c r="Q3" s="199" t="s">
        <v>286</v>
      </c>
      <c r="R3" s="200"/>
      <c r="S3" s="90"/>
      <c r="T3" s="94" t="s">
        <v>110</v>
      </c>
    </row>
    <row r="4" spans="1:22" customFormat="1" ht="105.75" hidden="1" thickBot="1" x14ac:dyDescent="0.5">
      <c r="A4" s="217"/>
      <c r="B4" s="228"/>
      <c r="C4" s="228"/>
      <c r="D4" s="228"/>
      <c r="E4" s="218"/>
      <c r="F4" s="217"/>
      <c r="G4" s="219"/>
      <c r="H4" s="220"/>
      <c r="I4" s="199" t="s">
        <v>276</v>
      </c>
      <c r="J4" s="199" t="s">
        <v>82</v>
      </c>
      <c r="K4" s="199" t="s">
        <v>277</v>
      </c>
      <c r="L4" s="199" t="s">
        <v>87</v>
      </c>
      <c r="M4" s="199" t="s">
        <v>278</v>
      </c>
      <c r="N4" s="199" t="s">
        <v>86</v>
      </c>
      <c r="O4" s="199" t="s">
        <v>279</v>
      </c>
      <c r="P4" s="199" t="s">
        <v>85</v>
      </c>
      <c r="Q4" s="199" t="s">
        <v>280</v>
      </c>
      <c r="R4" s="221"/>
      <c r="S4" s="222"/>
      <c r="T4" s="94"/>
    </row>
    <row r="5" spans="1:22" s="78" customFormat="1" ht="45" customHeight="1" x14ac:dyDescent="0.25">
      <c r="A5" s="203" t="s">
        <v>130</v>
      </c>
      <c r="B5" s="203"/>
      <c r="C5" s="203"/>
      <c r="D5" s="203"/>
      <c r="E5" s="204" t="s">
        <v>76</v>
      </c>
      <c r="F5" s="86">
        <v>0.12</v>
      </c>
      <c r="G5" s="214">
        <v>0</v>
      </c>
      <c r="H5" s="215" t="s">
        <v>105</v>
      </c>
      <c r="I5" s="246">
        <v>4</v>
      </c>
      <c r="J5" s="247" t="s">
        <v>265</v>
      </c>
      <c r="K5" s="246">
        <v>4</v>
      </c>
      <c r="L5" s="247" t="s">
        <v>266</v>
      </c>
      <c r="M5" s="246">
        <v>3</v>
      </c>
      <c r="N5" s="247" t="s">
        <v>267</v>
      </c>
      <c r="O5" s="246">
        <v>3</v>
      </c>
      <c r="P5" s="247" t="s">
        <v>139</v>
      </c>
      <c r="Q5" s="246">
        <v>3</v>
      </c>
      <c r="R5" s="102" t="s">
        <v>138</v>
      </c>
      <c r="S5" s="91" t="s">
        <v>145</v>
      </c>
      <c r="T5" s="95" t="s">
        <v>268</v>
      </c>
      <c r="U5" s="100" t="s">
        <v>269</v>
      </c>
    </row>
    <row r="6" spans="1:22" s="78" customFormat="1" ht="45" customHeight="1" x14ac:dyDescent="0.25">
      <c r="A6" s="205" t="s">
        <v>130</v>
      </c>
      <c r="B6" s="205"/>
      <c r="C6" s="205"/>
      <c r="D6" s="205"/>
      <c r="E6" s="206" t="s">
        <v>88</v>
      </c>
      <c r="F6" s="87">
        <v>0.12</v>
      </c>
      <c r="G6" s="211">
        <v>0</v>
      </c>
      <c r="H6" s="212" t="s">
        <v>106</v>
      </c>
      <c r="I6" s="248">
        <v>4</v>
      </c>
      <c r="J6" s="249" t="s">
        <v>137</v>
      </c>
      <c r="K6" s="248">
        <v>4</v>
      </c>
      <c r="L6" s="249" t="s">
        <v>144</v>
      </c>
      <c r="M6" s="248">
        <v>3</v>
      </c>
      <c r="N6" s="249"/>
      <c r="O6" s="248">
        <v>2</v>
      </c>
      <c r="P6" s="249" t="s">
        <v>147</v>
      </c>
      <c r="Q6" s="248">
        <v>3</v>
      </c>
      <c r="R6" s="82" t="s">
        <v>147</v>
      </c>
      <c r="S6" s="105" t="s">
        <v>146</v>
      </c>
      <c r="T6" s="95" t="s">
        <v>127</v>
      </c>
      <c r="U6" s="101"/>
      <c r="V6" s="78" t="s">
        <v>125</v>
      </c>
    </row>
    <row r="7" spans="1:22" s="78" customFormat="1" ht="45" customHeight="1" x14ac:dyDescent="0.25">
      <c r="A7" s="205" t="s">
        <v>130</v>
      </c>
      <c r="B7" s="205"/>
      <c r="C7" s="205"/>
      <c r="D7" s="205"/>
      <c r="E7" s="206" t="s">
        <v>77</v>
      </c>
      <c r="F7" s="87">
        <v>0.12</v>
      </c>
      <c r="G7" s="211">
        <v>0</v>
      </c>
      <c r="H7" s="212" t="s">
        <v>107</v>
      </c>
      <c r="I7" s="248">
        <v>3</v>
      </c>
      <c r="J7" s="249" t="s">
        <v>136</v>
      </c>
      <c r="K7" s="248">
        <v>3</v>
      </c>
      <c r="L7" s="249" t="s">
        <v>136</v>
      </c>
      <c r="M7" s="248">
        <v>4</v>
      </c>
      <c r="N7" s="250" t="s">
        <v>149</v>
      </c>
      <c r="O7" s="248">
        <v>4</v>
      </c>
      <c r="P7" s="250" t="s">
        <v>149</v>
      </c>
      <c r="Q7" s="248">
        <v>4</v>
      </c>
      <c r="R7" s="92" t="s">
        <v>149</v>
      </c>
      <c r="S7" s="92" t="s">
        <v>149</v>
      </c>
      <c r="T7" s="95" t="s">
        <v>121</v>
      </c>
      <c r="U7"/>
      <c r="V7"/>
    </row>
    <row r="8" spans="1:22" s="78" customFormat="1" ht="45" customHeight="1" x14ac:dyDescent="0.25">
      <c r="A8" s="205" t="s">
        <v>132</v>
      </c>
      <c r="B8" s="205"/>
      <c r="C8" s="205"/>
      <c r="D8" s="205"/>
      <c r="E8" s="206" t="s">
        <v>120</v>
      </c>
      <c r="F8" s="87">
        <v>0.12</v>
      </c>
      <c r="G8" s="211">
        <v>0</v>
      </c>
      <c r="H8" s="212" t="s">
        <v>105</v>
      </c>
      <c r="I8" s="251">
        <v>4</v>
      </c>
      <c r="J8" s="249" t="s">
        <v>135</v>
      </c>
      <c r="K8" s="251">
        <v>4</v>
      </c>
      <c r="L8" s="250" t="s">
        <v>154</v>
      </c>
      <c r="M8" s="251">
        <v>3</v>
      </c>
      <c r="N8" s="250" t="s">
        <v>153</v>
      </c>
      <c r="O8" s="251">
        <v>3</v>
      </c>
      <c r="P8" s="250" t="s">
        <v>152</v>
      </c>
      <c r="Q8" s="251">
        <v>3</v>
      </c>
      <c r="R8" s="92" t="s">
        <v>152</v>
      </c>
      <c r="S8" s="92" t="s">
        <v>150</v>
      </c>
      <c r="T8" s="95" t="s">
        <v>124</v>
      </c>
      <c r="U8"/>
      <c r="V8"/>
    </row>
    <row r="9" spans="1:22" s="78" customFormat="1" ht="45" customHeight="1" x14ac:dyDescent="0.25">
      <c r="A9" s="205" t="s">
        <v>132</v>
      </c>
      <c r="B9" s="205"/>
      <c r="C9" s="205"/>
      <c r="D9" s="205"/>
      <c r="E9" s="206" t="s">
        <v>97</v>
      </c>
      <c r="F9" s="87">
        <v>7.0000000000000007E-2</v>
      </c>
      <c r="G9" s="211">
        <v>4</v>
      </c>
      <c r="H9" s="212" t="s">
        <v>108</v>
      </c>
      <c r="I9" s="251">
        <f>'Quantity Impacts'!P45</f>
        <v>2</v>
      </c>
      <c r="J9" s="249" t="s">
        <v>111</v>
      </c>
      <c r="K9" s="251">
        <f>'Quantity Impacts'!P55</f>
        <v>2</v>
      </c>
      <c r="L9" s="250" t="s">
        <v>112</v>
      </c>
      <c r="M9" s="251">
        <f>'Quantity Impacts'!P15</f>
        <v>1</v>
      </c>
      <c r="N9" s="250" t="s">
        <v>113</v>
      </c>
      <c r="O9" s="251">
        <f>'Quantity Impacts'!P25</f>
        <v>1</v>
      </c>
      <c r="P9" s="250" t="s">
        <v>114</v>
      </c>
      <c r="Q9" s="251">
        <f>'Quantity Impacts'!P35</f>
        <v>1</v>
      </c>
      <c r="R9" s="82" t="s">
        <v>115</v>
      </c>
      <c r="S9" s="92" t="s">
        <v>118</v>
      </c>
      <c r="T9" s="106" t="s">
        <v>287</v>
      </c>
      <c r="U9"/>
      <c r="V9"/>
    </row>
    <row r="10" spans="1:22" s="78" customFormat="1" ht="45" customHeight="1" x14ac:dyDescent="0.25">
      <c r="A10" s="205" t="s">
        <v>132</v>
      </c>
      <c r="B10" s="205"/>
      <c r="C10" s="205"/>
      <c r="D10" s="205"/>
      <c r="E10" s="206" t="s">
        <v>300</v>
      </c>
      <c r="F10" s="87">
        <v>0.05</v>
      </c>
      <c r="G10" s="211">
        <f>'Quantity Impacts'!G5</f>
        <v>4</v>
      </c>
      <c r="H10" s="212" t="s">
        <v>270</v>
      </c>
      <c r="I10" s="251">
        <f>'Quantity Impacts'!G45</f>
        <v>1</v>
      </c>
      <c r="J10" s="249" t="s">
        <v>155</v>
      </c>
      <c r="K10" s="251">
        <f>'Quantity Impacts'!G55</f>
        <v>2</v>
      </c>
      <c r="L10" s="250" t="s">
        <v>155</v>
      </c>
      <c r="M10" s="251">
        <f>'Quantity Impacts'!G15</f>
        <v>2</v>
      </c>
      <c r="N10" s="250" t="s">
        <v>156</v>
      </c>
      <c r="O10" s="251">
        <f>'Quantity Impacts'!G25</f>
        <v>2</v>
      </c>
      <c r="P10" s="250" t="s">
        <v>156</v>
      </c>
      <c r="Q10" s="251">
        <f>'Quantity Impacts'!G35</f>
        <v>3</v>
      </c>
      <c r="R10" s="89" t="s">
        <v>156</v>
      </c>
      <c r="S10" s="89" t="s">
        <v>156</v>
      </c>
      <c r="T10" s="106" t="s">
        <v>273</v>
      </c>
      <c r="U10"/>
      <c r="V10"/>
    </row>
    <row r="11" spans="1:22" s="78" customFormat="1" ht="45" customHeight="1" x14ac:dyDescent="0.25">
      <c r="A11" s="205" t="s">
        <v>132</v>
      </c>
      <c r="B11" s="205"/>
      <c r="C11" s="205"/>
      <c r="D11" s="205"/>
      <c r="E11" s="206" t="s">
        <v>299</v>
      </c>
      <c r="F11" s="87">
        <v>0</v>
      </c>
      <c r="G11" s="103">
        <v>0</v>
      </c>
      <c r="H11" s="104"/>
      <c r="I11" s="103">
        <f>'Quantity Impacts'!G40</f>
        <v>87</v>
      </c>
      <c r="J11" s="103"/>
      <c r="K11" s="103">
        <f>'Quantity Impacts'!G50</f>
        <v>69</v>
      </c>
      <c r="L11" s="103"/>
      <c r="M11" s="103">
        <f>'Quantity Impacts'!G10</f>
        <v>50</v>
      </c>
      <c r="N11" s="103"/>
      <c r="O11" s="103">
        <f>'Quantity Impacts'!G20</f>
        <v>47</v>
      </c>
      <c r="P11" s="103"/>
      <c r="Q11" s="103">
        <f>'Quantity Impacts'!G30</f>
        <v>22</v>
      </c>
      <c r="R11" s="104"/>
      <c r="S11" s="89"/>
      <c r="T11" s="106" t="s">
        <v>274</v>
      </c>
      <c r="U11"/>
      <c r="V11"/>
    </row>
    <row r="12" spans="1:22" s="78" customFormat="1" ht="45" customHeight="1" x14ac:dyDescent="0.25">
      <c r="A12" s="205" t="s">
        <v>132</v>
      </c>
      <c r="B12" s="205"/>
      <c r="C12" s="205"/>
      <c r="D12" s="205"/>
      <c r="E12" s="206" t="s">
        <v>301</v>
      </c>
      <c r="F12" s="87">
        <v>0.05</v>
      </c>
      <c r="G12" s="211">
        <f>'Quantity Impacts'!J5</f>
        <v>4</v>
      </c>
      <c r="H12" s="212" t="s">
        <v>270</v>
      </c>
      <c r="I12" s="251">
        <f>'Quantity Impacts'!J45</f>
        <v>1</v>
      </c>
      <c r="J12" s="249" t="s">
        <v>155</v>
      </c>
      <c r="K12" s="251">
        <f>'Quantity Impacts'!J55</f>
        <v>1</v>
      </c>
      <c r="L12" s="250" t="s">
        <v>155</v>
      </c>
      <c r="M12" s="251">
        <f>'Quantity Impacts'!J15</f>
        <v>3</v>
      </c>
      <c r="N12" s="250" t="s">
        <v>156</v>
      </c>
      <c r="O12" s="251">
        <f>'Quantity Impacts'!J25</f>
        <v>3</v>
      </c>
      <c r="P12" s="250" t="s">
        <v>156</v>
      </c>
      <c r="Q12" s="251">
        <f>'Quantity Impacts'!J35</f>
        <v>4</v>
      </c>
      <c r="R12" s="89" t="s">
        <v>156</v>
      </c>
      <c r="S12" s="89"/>
      <c r="T12" s="106" t="s">
        <v>272</v>
      </c>
      <c r="U12"/>
      <c r="V12"/>
    </row>
    <row r="13" spans="1:22" s="78" customFormat="1" ht="45" customHeight="1" x14ac:dyDescent="0.25">
      <c r="A13" s="205" t="s">
        <v>132</v>
      </c>
      <c r="B13" s="205"/>
      <c r="C13" s="205"/>
      <c r="D13" s="205"/>
      <c r="E13" s="206" t="s">
        <v>302</v>
      </c>
      <c r="F13" s="87">
        <v>0</v>
      </c>
      <c r="G13" s="103">
        <v>0</v>
      </c>
      <c r="H13" s="103"/>
      <c r="I13" s="103">
        <f>'Quantity Impacts'!J40</f>
        <v>217</v>
      </c>
      <c r="J13" s="103"/>
      <c r="K13" s="103">
        <f>'Quantity Impacts'!J50</f>
        <v>185</v>
      </c>
      <c r="L13" s="103"/>
      <c r="M13" s="103">
        <f>'Quantity Impacts'!J10</f>
        <v>33</v>
      </c>
      <c r="N13" s="103"/>
      <c r="O13" s="103">
        <f>'Quantity Impacts'!J20</f>
        <v>40</v>
      </c>
      <c r="P13" s="103"/>
      <c r="Q13" s="103">
        <f>'Quantity Impacts'!J30</f>
        <v>21</v>
      </c>
      <c r="R13" s="104"/>
      <c r="S13" s="89"/>
      <c r="T13" s="106" t="s">
        <v>275</v>
      </c>
      <c r="U13"/>
      <c r="V13"/>
    </row>
    <row r="14" spans="1:22" s="78" customFormat="1" ht="45" customHeight="1" x14ac:dyDescent="0.25">
      <c r="A14" s="205" t="s">
        <v>132</v>
      </c>
      <c r="B14" s="205"/>
      <c r="C14" s="205"/>
      <c r="D14" s="205"/>
      <c r="E14" s="206" t="s">
        <v>259</v>
      </c>
      <c r="F14" s="87">
        <v>0.05</v>
      </c>
      <c r="G14" s="211">
        <f>'Quantity Impacts'!M5</f>
        <v>4</v>
      </c>
      <c r="H14" s="212" t="s">
        <v>270</v>
      </c>
      <c r="I14" s="251">
        <f>'Quantity Impacts'!M45</f>
        <v>2</v>
      </c>
      <c r="J14" s="249" t="s">
        <v>155</v>
      </c>
      <c r="K14" s="251">
        <f>'Quantity Impacts'!M55</f>
        <v>3</v>
      </c>
      <c r="L14" s="250" t="s">
        <v>155</v>
      </c>
      <c r="M14" s="251">
        <f>'Quantity Impacts'!M15</f>
        <v>1</v>
      </c>
      <c r="N14" s="250" t="s">
        <v>156</v>
      </c>
      <c r="O14" s="251">
        <f>'Quantity Impacts'!M25</f>
        <v>1</v>
      </c>
      <c r="P14" s="250" t="s">
        <v>156</v>
      </c>
      <c r="Q14" s="251">
        <f>'Quantity Impacts'!M35</f>
        <v>1</v>
      </c>
      <c r="R14" s="89" t="s">
        <v>156</v>
      </c>
      <c r="S14" s="89"/>
      <c r="T14" s="106" t="s">
        <v>271</v>
      </c>
      <c r="U14"/>
      <c r="V14"/>
    </row>
    <row r="15" spans="1:22" s="78" customFormat="1" ht="45" customHeight="1" x14ac:dyDescent="0.25">
      <c r="A15" s="205" t="s">
        <v>132</v>
      </c>
      <c r="B15" s="205"/>
      <c r="C15" s="205"/>
      <c r="D15" s="205"/>
      <c r="E15" s="206" t="s">
        <v>131</v>
      </c>
      <c r="F15" s="87">
        <v>0.05</v>
      </c>
      <c r="G15" s="211">
        <f>'Quantity Impacts'!E5</f>
        <v>4</v>
      </c>
      <c r="H15" s="212" t="s">
        <v>159</v>
      </c>
      <c r="I15" s="251">
        <f>'Quantity Impacts'!E45</f>
        <v>2</v>
      </c>
      <c r="J15" s="249" t="s">
        <v>158</v>
      </c>
      <c r="K15" s="251">
        <f>'Quantity Impacts'!E55</f>
        <v>2</v>
      </c>
      <c r="L15" s="250" t="s">
        <v>160</v>
      </c>
      <c r="M15" s="251">
        <f>'Quantity Impacts'!E15</f>
        <v>1</v>
      </c>
      <c r="N15" s="250" t="s">
        <v>142</v>
      </c>
      <c r="O15" s="251">
        <f>'Quantity Impacts'!E25</f>
        <v>1</v>
      </c>
      <c r="P15" s="250" t="s">
        <v>158</v>
      </c>
      <c r="Q15" s="251">
        <f>'Quantity Impacts'!E35</f>
        <v>1</v>
      </c>
      <c r="R15" s="89" t="s">
        <v>160</v>
      </c>
      <c r="S15" s="89" t="s">
        <v>158</v>
      </c>
      <c r="T15" s="96" t="s">
        <v>263</v>
      </c>
      <c r="U15"/>
      <c r="V15"/>
    </row>
    <row r="16" spans="1:22" s="78" customFormat="1" ht="45" customHeight="1" x14ac:dyDescent="0.25">
      <c r="A16" s="205" t="s">
        <v>132</v>
      </c>
      <c r="B16" s="205"/>
      <c r="C16" s="205"/>
      <c r="D16" s="205"/>
      <c r="E16" s="206" t="s">
        <v>103</v>
      </c>
      <c r="F16" s="87">
        <v>0.05</v>
      </c>
      <c r="G16" s="211">
        <v>1</v>
      </c>
      <c r="H16" s="212" t="s">
        <v>100</v>
      </c>
      <c r="I16" s="251">
        <v>2</v>
      </c>
      <c r="J16" s="249" t="s">
        <v>161</v>
      </c>
      <c r="K16" s="248">
        <v>2</v>
      </c>
      <c r="L16" s="249" t="s">
        <v>161</v>
      </c>
      <c r="M16" s="248">
        <v>3</v>
      </c>
      <c r="N16" s="249" t="s">
        <v>101</v>
      </c>
      <c r="O16" s="248">
        <v>3</v>
      </c>
      <c r="P16" s="249" t="s">
        <v>162</v>
      </c>
      <c r="Q16" s="248">
        <v>3</v>
      </c>
      <c r="R16" s="89" t="s">
        <v>162</v>
      </c>
      <c r="S16" s="89" t="s">
        <v>101</v>
      </c>
      <c r="T16" s="97" t="s">
        <v>264</v>
      </c>
      <c r="U16"/>
      <c r="V16"/>
    </row>
    <row r="17" spans="1:20" s="78" customFormat="1" ht="45" customHeight="1" thickBot="1" x14ac:dyDescent="0.3">
      <c r="A17" s="207" t="s">
        <v>133</v>
      </c>
      <c r="B17" s="207"/>
      <c r="C17" s="207"/>
      <c r="D17" s="207"/>
      <c r="E17" s="208" t="s">
        <v>119</v>
      </c>
      <c r="F17" s="209">
        <v>0.2</v>
      </c>
      <c r="G17" s="216" t="s">
        <v>281</v>
      </c>
      <c r="H17" s="82"/>
      <c r="I17" s="252" t="s">
        <v>281</v>
      </c>
      <c r="J17" s="253"/>
      <c r="K17" s="252" t="s">
        <v>281</v>
      </c>
      <c r="L17" s="253"/>
      <c r="M17" s="252" t="s">
        <v>281</v>
      </c>
      <c r="N17" s="253"/>
      <c r="O17" s="252" t="s">
        <v>281</v>
      </c>
      <c r="P17" s="253"/>
      <c r="Q17" s="252" t="s">
        <v>281</v>
      </c>
      <c r="R17" s="82"/>
      <c r="S17" s="92"/>
      <c r="T17" s="98"/>
    </row>
    <row r="18" spans="1:20" s="78" customFormat="1" ht="79.900000000000006" customHeight="1" thickBot="1" x14ac:dyDescent="0.3">
      <c r="A18" s="233"/>
      <c r="B18" s="233"/>
      <c r="C18" s="233"/>
      <c r="D18" s="233"/>
      <c r="E18" s="210" t="s">
        <v>22</v>
      </c>
      <c r="F18" s="88">
        <f>F24</f>
        <v>1.0000000000000002</v>
      </c>
      <c r="G18" s="242"/>
      <c r="H18" s="243"/>
      <c r="I18" s="242"/>
      <c r="J18" s="243"/>
      <c r="K18" s="242"/>
      <c r="L18" s="243"/>
      <c r="M18" s="242"/>
      <c r="N18" s="243"/>
      <c r="O18" s="242"/>
      <c r="P18" s="243"/>
      <c r="Q18" s="242"/>
      <c r="R18" s="244"/>
      <c r="S18" s="245"/>
      <c r="T18" s="236"/>
    </row>
    <row r="19" spans="1:20" ht="34.5" customHeight="1" x14ac:dyDescent="0.25">
      <c r="G19"/>
      <c r="H19"/>
      <c r="I19"/>
      <c r="J19"/>
      <c r="K19"/>
      <c r="L19"/>
      <c r="M19"/>
      <c r="N19"/>
      <c r="O19"/>
      <c r="P19"/>
      <c r="Q19"/>
      <c r="R19"/>
      <c r="S19" s="76"/>
    </row>
    <row r="20" spans="1:20" ht="42" customHeight="1" x14ac:dyDescent="0.25">
      <c r="G20" s="340" t="s">
        <v>95</v>
      </c>
      <c r="H20" s="340"/>
      <c r="I20" s="340"/>
      <c r="J20" s="340"/>
      <c r="K20" s="340"/>
      <c r="L20" s="340"/>
      <c r="M20" s="340"/>
      <c r="N20" s="340"/>
      <c r="O20" s="340"/>
      <c r="P20"/>
      <c r="Q20"/>
      <c r="R20"/>
      <c r="S20" s="76"/>
    </row>
    <row r="21" spans="1:20" s="77" customFormat="1" ht="73.900000000000006" customHeight="1" x14ac:dyDescent="0.3">
      <c r="E21"/>
      <c r="F21"/>
      <c r="G21" s="231" t="s">
        <v>89</v>
      </c>
      <c r="H21" s="230"/>
      <c r="I21" s="230"/>
      <c r="J21" s="231"/>
      <c r="K21" s="231" t="s">
        <v>91</v>
      </c>
      <c r="L21" s="230"/>
      <c r="M21" s="230"/>
      <c r="N21" s="232"/>
      <c r="O21" s="231" t="s">
        <v>98</v>
      </c>
      <c r="P21"/>
      <c r="Q21"/>
      <c r="R21"/>
      <c r="S21" s="80"/>
    </row>
    <row r="22" spans="1:20" ht="45" customHeight="1" x14ac:dyDescent="0.25">
      <c r="G22" s="213">
        <v>0</v>
      </c>
      <c r="H22" s="213"/>
      <c r="I22" s="213">
        <v>1</v>
      </c>
      <c r="J22" s="213"/>
      <c r="K22" s="213">
        <v>2</v>
      </c>
      <c r="L22" s="213"/>
      <c r="M22" s="213">
        <v>3</v>
      </c>
      <c r="N22" s="213"/>
      <c r="O22" s="213">
        <v>4</v>
      </c>
      <c r="P22"/>
      <c r="Q22"/>
      <c r="R22"/>
      <c r="S22" s="76"/>
    </row>
    <row r="23" spans="1:20" ht="45" customHeight="1" thickBot="1" x14ac:dyDescent="0.3">
      <c r="G23" s="254"/>
      <c r="H23" s="254"/>
      <c r="I23" s="254"/>
      <c r="J23" s="254"/>
      <c r="K23" s="254"/>
      <c r="L23" s="254"/>
      <c r="M23" s="254"/>
      <c r="N23" s="254"/>
      <c r="O23" s="254"/>
      <c r="P23"/>
      <c r="Q23"/>
      <c r="R23"/>
      <c r="S23" s="76"/>
    </row>
    <row r="24" spans="1:20" s="78" customFormat="1" ht="45" customHeight="1" thickBot="1" x14ac:dyDescent="0.3">
      <c r="A24" s="202"/>
      <c r="B24" s="229"/>
      <c r="C24" s="229"/>
      <c r="D24" s="229"/>
      <c r="E24" s="210" t="s">
        <v>22</v>
      </c>
      <c r="F24" s="88">
        <f>SUM(F5:F17)</f>
        <v>1.0000000000000002</v>
      </c>
      <c r="G24" s="83">
        <f t="shared" ref="G24:Q24" si="0">ROUND($F$5*G5+G6*$F$6+$F$7*G7+G8*$F$8+$F$9*G9+G10*$F$10+$F$15*G15+G16*$F$16+$F$12*G12+$F$14*G14,1)</f>
        <v>1.1000000000000001</v>
      </c>
      <c r="H24" s="83" t="e">
        <f t="shared" si="0"/>
        <v>#VALUE!</v>
      </c>
      <c r="I24" s="83">
        <f t="shared" si="0"/>
        <v>2.2999999999999998</v>
      </c>
      <c r="J24" s="83" t="e">
        <f t="shared" si="0"/>
        <v>#VALUE!</v>
      </c>
      <c r="K24" s="83">
        <f t="shared" si="0"/>
        <v>2.4</v>
      </c>
      <c r="L24" s="83" t="e">
        <f t="shared" si="0"/>
        <v>#VALUE!</v>
      </c>
      <c r="M24" s="83">
        <f t="shared" si="0"/>
        <v>2.1</v>
      </c>
      <c r="N24" s="83" t="e">
        <f t="shared" si="0"/>
        <v>#VALUE!</v>
      </c>
      <c r="O24" s="83">
        <f t="shared" si="0"/>
        <v>2</v>
      </c>
      <c r="P24" s="83" t="e">
        <f t="shared" si="0"/>
        <v>#VALUE!</v>
      </c>
      <c r="Q24" s="83">
        <f t="shared" si="0"/>
        <v>2.2000000000000002</v>
      </c>
      <c r="R24" s="83" t="e">
        <f>ROUND($F$5*R5+R6*$F$6+$F$7*R7+R8*$F$8+$F$9*R9+R10*$F$10+$F$15*R15+R16*$F$16+$F$12*R12+$F$14*R14+$F$17*R17,1)</f>
        <v>#VALUE!</v>
      </c>
      <c r="S24" s="93"/>
      <c r="T24" s="99"/>
    </row>
    <row r="25" spans="1:20" s="78" customFormat="1" ht="45" customHeight="1" x14ac:dyDescent="0.25">
      <c r="A25" s="233"/>
      <c r="B25" s="233"/>
      <c r="C25" s="233"/>
      <c r="D25" s="233"/>
      <c r="E25" s="234"/>
      <c r="F25" s="235"/>
      <c r="G25" s="238">
        <f>G24</f>
        <v>1.1000000000000001</v>
      </c>
      <c r="H25" s="238"/>
      <c r="I25" s="238">
        <f>I24</f>
        <v>2.2999999999999998</v>
      </c>
      <c r="J25" s="238"/>
      <c r="K25" s="238">
        <f>K24</f>
        <v>2.4</v>
      </c>
      <c r="L25" s="238"/>
      <c r="M25" s="238">
        <f>M24</f>
        <v>2.1</v>
      </c>
      <c r="N25" s="238"/>
      <c r="O25" s="238">
        <f>O24</f>
        <v>2</v>
      </c>
      <c r="P25" s="238"/>
      <c r="Q25" s="238">
        <f>Q24</f>
        <v>2.2000000000000002</v>
      </c>
      <c r="R25" s="237"/>
      <c r="S25" s="236"/>
      <c r="T25" s="236"/>
    </row>
    <row r="26" spans="1:20" s="78" customFormat="1" ht="45" customHeight="1" x14ac:dyDescent="0.25">
      <c r="A26" s="233"/>
      <c r="B26" s="233"/>
      <c r="C26" s="233"/>
      <c r="D26" s="233"/>
      <c r="E26" s="234"/>
      <c r="F26" s="240" t="s">
        <v>297</v>
      </c>
      <c r="G26" s="239">
        <f>G25/4</f>
        <v>0.27500000000000002</v>
      </c>
      <c r="H26" s="238"/>
      <c r="I26" s="239">
        <f>I25/4</f>
        <v>0.57499999999999996</v>
      </c>
      <c r="J26" s="238"/>
      <c r="K26" s="239">
        <f>K25/4</f>
        <v>0.6</v>
      </c>
      <c r="L26" s="238"/>
      <c r="M26" s="239">
        <f>M25/4</f>
        <v>0.52500000000000002</v>
      </c>
      <c r="N26" s="238"/>
      <c r="O26" s="239">
        <f>O25/4</f>
        <v>0.5</v>
      </c>
      <c r="P26" s="238"/>
      <c r="Q26" s="239">
        <f>Q25/4</f>
        <v>0.55000000000000004</v>
      </c>
      <c r="R26" s="237"/>
      <c r="S26" s="236"/>
      <c r="T26" s="236"/>
    </row>
    <row r="27" spans="1:20" s="78" customFormat="1" ht="45" customHeight="1" x14ac:dyDescent="0.25">
      <c r="A27" s="233"/>
      <c r="B27" s="233"/>
      <c r="C27" s="233"/>
      <c r="D27" s="233"/>
      <c r="E27" s="234"/>
      <c r="F27" s="241" t="s">
        <v>298</v>
      </c>
      <c r="G27" s="239">
        <f>1-G26</f>
        <v>0.72499999999999998</v>
      </c>
      <c r="H27" s="238"/>
      <c r="I27" s="239">
        <f>1-I26</f>
        <v>0.42500000000000004</v>
      </c>
      <c r="J27" s="238"/>
      <c r="K27" s="239">
        <f>1-K26</f>
        <v>0.4</v>
      </c>
      <c r="L27" s="238"/>
      <c r="M27" s="239">
        <f>1-M26</f>
        <v>0.47499999999999998</v>
      </c>
      <c r="N27" s="238"/>
      <c r="O27" s="239">
        <f>1-O26</f>
        <v>0.5</v>
      </c>
      <c r="P27" s="238"/>
      <c r="Q27" s="239">
        <f>1-Q26</f>
        <v>0.44999999999999996</v>
      </c>
      <c r="R27" s="237"/>
      <c r="S27" s="236"/>
      <c r="T27" s="236"/>
    </row>
    <row r="28" spans="1:20" x14ac:dyDescent="0.25">
      <c r="G28" s="26"/>
      <c r="H28" s="26"/>
      <c r="I28" s="26"/>
      <c r="J28" s="26"/>
      <c r="K28" s="26"/>
      <c r="L28" s="26"/>
      <c r="M28" s="26"/>
      <c r="N28" s="26"/>
      <c r="O28" s="26"/>
      <c r="P28" s="26"/>
      <c r="Q28" s="26"/>
      <c r="R28" s="26"/>
      <c r="S28" s="76"/>
    </row>
    <row r="29" spans="1:20" x14ac:dyDescent="0.25">
      <c r="G29"/>
      <c r="H29"/>
      <c r="I29"/>
      <c r="J29"/>
      <c r="K29"/>
      <c r="L29"/>
      <c r="M29"/>
      <c r="N29"/>
      <c r="O29"/>
      <c r="P29"/>
      <c r="Q29"/>
      <c r="R29"/>
      <c r="S29" s="76"/>
    </row>
    <row r="30" spans="1:20" ht="45" customHeight="1" x14ac:dyDescent="0.25">
      <c r="G30" s="342" t="s">
        <v>99</v>
      </c>
      <c r="H30" s="342"/>
      <c r="I30" s="342"/>
      <c r="J30" s="342"/>
      <c r="K30" s="342"/>
      <c r="L30" s="342"/>
      <c r="M30" s="342"/>
      <c r="N30" s="342"/>
      <c r="O30" s="342"/>
      <c r="P30" s="342"/>
      <c r="Q30" s="342"/>
      <c r="R30" s="342"/>
      <c r="S30" s="76"/>
    </row>
    <row r="31" spans="1:20" ht="12" customHeight="1" x14ac:dyDescent="0.25">
      <c r="G31"/>
      <c r="H31"/>
      <c r="I31"/>
      <c r="J31"/>
      <c r="K31"/>
      <c r="L31"/>
      <c r="M31"/>
      <c r="N31"/>
      <c r="O31"/>
      <c r="P31"/>
      <c r="Q31"/>
      <c r="R31"/>
      <c r="S31" s="76"/>
    </row>
    <row r="32" spans="1:20" ht="12" customHeight="1" x14ac:dyDescent="0.25">
      <c r="G32"/>
      <c r="H32"/>
      <c r="I32"/>
      <c r="J32"/>
      <c r="K32"/>
      <c r="L32"/>
      <c r="M32"/>
      <c r="N32"/>
      <c r="O32"/>
      <c r="P32"/>
      <c r="Q32"/>
      <c r="R32"/>
      <c r="S32" s="76"/>
    </row>
    <row r="33" spans="7:19" ht="12" customHeight="1" x14ac:dyDescent="0.25">
      <c r="G33"/>
      <c r="H33"/>
      <c r="I33"/>
      <c r="J33"/>
      <c r="K33"/>
      <c r="L33"/>
      <c r="M33"/>
      <c r="N33"/>
      <c r="O33"/>
      <c r="P33"/>
      <c r="Q33"/>
      <c r="R33"/>
      <c r="S33" s="76"/>
    </row>
    <row r="34" spans="7:19" ht="12" customHeight="1" x14ac:dyDescent="0.25">
      <c r="G34"/>
      <c r="H34"/>
      <c r="I34"/>
      <c r="J34"/>
      <c r="K34"/>
      <c r="L34"/>
      <c r="M34"/>
      <c r="N34"/>
      <c r="O34"/>
      <c r="P34"/>
      <c r="Q34"/>
      <c r="R34"/>
      <c r="S34" s="76"/>
    </row>
    <row r="35" spans="7:19" ht="12" customHeight="1" x14ac:dyDescent="0.25">
      <c r="G35"/>
      <c r="H35"/>
      <c r="I35"/>
      <c r="J35"/>
      <c r="K35"/>
      <c r="L35"/>
      <c r="M35"/>
      <c r="N35"/>
      <c r="O35"/>
      <c r="P35"/>
      <c r="Q35"/>
      <c r="R35"/>
      <c r="S35" s="76"/>
    </row>
    <row r="36" spans="7:19" ht="12" customHeight="1" x14ac:dyDescent="0.25">
      <c r="G36"/>
      <c r="H36"/>
      <c r="I36"/>
      <c r="J36"/>
      <c r="K36"/>
      <c r="L36"/>
      <c r="M36"/>
      <c r="N36"/>
      <c r="O36"/>
      <c r="P36"/>
      <c r="Q36"/>
      <c r="R36"/>
      <c r="S36" s="76"/>
    </row>
    <row r="37" spans="7:19" ht="12" customHeight="1" x14ac:dyDescent="0.25">
      <c r="G37"/>
      <c r="H37"/>
      <c r="I37"/>
      <c r="J37"/>
      <c r="K37"/>
      <c r="L37"/>
      <c r="M37"/>
      <c r="N37"/>
      <c r="O37"/>
      <c r="P37"/>
      <c r="Q37"/>
      <c r="R37"/>
      <c r="S37" s="76"/>
    </row>
    <row r="38" spans="7:19" ht="12" customHeight="1" x14ac:dyDescent="0.25">
      <c r="G38"/>
      <c r="H38"/>
      <c r="I38"/>
      <c r="J38"/>
      <c r="K38"/>
      <c r="L38"/>
      <c r="M38"/>
      <c r="N38"/>
      <c r="O38"/>
      <c r="P38"/>
      <c r="Q38"/>
      <c r="R38"/>
      <c r="S38" s="76"/>
    </row>
    <row r="39" spans="7:19" ht="12" customHeight="1" x14ac:dyDescent="0.25">
      <c r="G39"/>
      <c r="H39"/>
      <c r="I39"/>
      <c r="J39"/>
      <c r="K39"/>
      <c r="L39"/>
      <c r="M39"/>
      <c r="N39"/>
      <c r="O39"/>
      <c r="P39"/>
      <c r="Q39"/>
      <c r="R39"/>
      <c r="S39" s="76"/>
    </row>
    <row r="40" spans="7:19" ht="12" customHeight="1" x14ac:dyDescent="0.25">
      <c r="G40"/>
      <c r="H40"/>
      <c r="I40"/>
      <c r="J40"/>
      <c r="K40"/>
      <c r="L40"/>
      <c r="M40"/>
      <c r="N40"/>
      <c r="O40"/>
      <c r="P40"/>
      <c r="Q40"/>
      <c r="R40"/>
      <c r="S40" s="76"/>
    </row>
    <row r="41" spans="7:19" ht="70.150000000000006" customHeight="1" x14ac:dyDescent="0.25">
      <c r="G41"/>
      <c r="H41"/>
      <c r="I41" s="84"/>
      <c r="J41" s="84"/>
      <c r="K41" s="84"/>
      <c r="L41" s="84"/>
      <c r="M41" s="84"/>
      <c r="N41" s="85"/>
      <c r="O41"/>
      <c r="P41"/>
      <c r="Q41"/>
      <c r="R41"/>
      <c r="S41" s="76"/>
    </row>
    <row r="42" spans="7:19" ht="12" customHeight="1" x14ac:dyDescent="0.25">
      <c r="G42"/>
      <c r="H42"/>
      <c r="I42"/>
      <c r="J42"/>
      <c r="K42"/>
      <c r="L42"/>
      <c r="M42"/>
      <c r="N42"/>
      <c r="O42"/>
      <c r="P42"/>
      <c r="Q42"/>
      <c r="R42"/>
      <c r="S42" s="76"/>
    </row>
    <row r="43" spans="7:19" ht="12" customHeight="1" x14ac:dyDescent="0.25">
      <c r="G43"/>
      <c r="H43"/>
      <c r="I43"/>
      <c r="J43"/>
      <c r="K43"/>
      <c r="L43"/>
      <c r="M43"/>
      <c r="N43"/>
      <c r="O43"/>
      <c r="P43"/>
      <c r="Q43"/>
      <c r="R43"/>
      <c r="S43" s="76"/>
    </row>
    <row r="44" spans="7:19" ht="12" customHeight="1" x14ac:dyDescent="0.25">
      <c r="G44"/>
      <c r="H44"/>
      <c r="I44"/>
      <c r="J44"/>
      <c r="K44"/>
      <c r="L44"/>
      <c r="M44"/>
      <c r="N44"/>
      <c r="O44"/>
      <c r="P44"/>
      <c r="Q44"/>
      <c r="R44"/>
      <c r="S44" s="76"/>
    </row>
    <row r="45" spans="7:19" ht="12" customHeight="1" x14ac:dyDescent="0.25">
      <c r="G45"/>
      <c r="H45"/>
      <c r="I45"/>
      <c r="J45"/>
      <c r="K45"/>
      <c r="L45"/>
      <c r="M45"/>
      <c r="N45"/>
      <c r="O45"/>
      <c r="P45"/>
      <c r="Q45"/>
      <c r="R45"/>
      <c r="S45" s="76"/>
    </row>
    <row r="46" spans="7:19" ht="12" customHeight="1" x14ac:dyDescent="0.25">
      <c r="G46"/>
      <c r="H46"/>
      <c r="I46"/>
      <c r="J46"/>
      <c r="K46"/>
      <c r="L46"/>
      <c r="M46"/>
      <c r="N46"/>
      <c r="O46"/>
      <c r="P46"/>
      <c r="Q46"/>
      <c r="R46"/>
      <c r="S46" s="76"/>
    </row>
    <row r="47" spans="7:19" ht="12" customHeight="1" x14ac:dyDescent="0.25">
      <c r="G47"/>
      <c r="H47"/>
      <c r="I47"/>
      <c r="J47"/>
      <c r="K47"/>
      <c r="L47"/>
      <c r="M47"/>
      <c r="N47"/>
      <c r="O47"/>
      <c r="P47"/>
      <c r="Q47"/>
      <c r="R47"/>
      <c r="S47" s="76"/>
    </row>
    <row r="48" spans="7:19" ht="12" customHeight="1" x14ac:dyDescent="0.25">
      <c r="G48"/>
      <c r="H48"/>
      <c r="I48"/>
      <c r="J48"/>
      <c r="K48"/>
      <c r="L48"/>
      <c r="M48"/>
      <c r="N48"/>
      <c r="O48"/>
      <c r="P48"/>
      <c r="Q48"/>
      <c r="R48"/>
      <c r="S48" s="76"/>
    </row>
    <row r="49" spans="7:19" ht="12" customHeight="1" x14ac:dyDescent="0.25">
      <c r="G49"/>
      <c r="H49"/>
      <c r="I49"/>
      <c r="J49"/>
      <c r="K49"/>
      <c r="L49"/>
      <c r="M49"/>
      <c r="N49"/>
      <c r="O49"/>
      <c r="P49"/>
      <c r="Q49"/>
      <c r="R49"/>
      <c r="S49" s="76"/>
    </row>
    <row r="50" spans="7:19" ht="12" customHeight="1" x14ac:dyDescent="0.25">
      <c r="G50"/>
      <c r="H50"/>
      <c r="I50"/>
      <c r="J50"/>
      <c r="K50"/>
      <c r="L50"/>
      <c r="M50"/>
      <c r="N50"/>
      <c r="O50"/>
      <c r="P50"/>
      <c r="Q50"/>
      <c r="R50"/>
      <c r="S50" s="76"/>
    </row>
    <row r="51" spans="7:19" ht="12" customHeight="1" x14ac:dyDescent="0.25">
      <c r="G51"/>
      <c r="H51"/>
      <c r="I51"/>
      <c r="J51"/>
      <c r="K51"/>
      <c r="L51"/>
      <c r="M51"/>
      <c r="N51"/>
      <c r="O51"/>
      <c r="P51"/>
      <c r="Q51"/>
      <c r="R51"/>
      <c r="S51" s="76"/>
    </row>
    <row r="52" spans="7:19" ht="12" customHeight="1" x14ac:dyDescent="0.25">
      <c r="G52"/>
      <c r="H52"/>
      <c r="I52"/>
      <c r="J52"/>
      <c r="K52"/>
      <c r="L52"/>
      <c r="M52"/>
      <c r="N52"/>
      <c r="O52"/>
      <c r="P52"/>
      <c r="Q52"/>
      <c r="R52"/>
      <c r="S52" s="76"/>
    </row>
    <row r="53" spans="7:19" ht="12" customHeight="1" x14ac:dyDescent="0.25">
      <c r="G53"/>
      <c r="H53"/>
      <c r="I53"/>
      <c r="J53"/>
      <c r="K53"/>
      <c r="L53"/>
      <c r="M53"/>
      <c r="N53"/>
      <c r="O53"/>
      <c r="P53"/>
      <c r="Q53"/>
      <c r="R53"/>
      <c r="S53" s="76"/>
    </row>
    <row r="54" spans="7:19" ht="12" customHeight="1" x14ac:dyDescent="0.25">
      <c r="G54"/>
      <c r="H54"/>
      <c r="I54"/>
      <c r="J54"/>
      <c r="K54"/>
      <c r="L54"/>
      <c r="M54"/>
      <c r="N54"/>
      <c r="O54"/>
      <c r="P54"/>
      <c r="Q54"/>
      <c r="R54"/>
      <c r="S54" s="76"/>
    </row>
    <row r="55" spans="7:19" ht="12" customHeight="1" x14ac:dyDescent="0.25">
      <c r="G55"/>
      <c r="H55"/>
      <c r="I55"/>
      <c r="J55"/>
      <c r="K55"/>
      <c r="L55"/>
      <c r="M55"/>
      <c r="N55"/>
      <c r="O55"/>
      <c r="P55"/>
      <c r="Q55"/>
      <c r="R55"/>
      <c r="S55" s="76"/>
    </row>
    <row r="56" spans="7:19" ht="12" customHeight="1" x14ac:dyDescent="0.25">
      <c r="G56"/>
      <c r="H56"/>
      <c r="I56"/>
      <c r="J56"/>
      <c r="K56"/>
      <c r="L56"/>
      <c r="M56"/>
      <c r="N56"/>
      <c r="O56"/>
      <c r="P56"/>
      <c r="Q56"/>
      <c r="R56"/>
      <c r="S56" s="76"/>
    </row>
    <row r="57" spans="7:19" ht="12" customHeight="1" x14ac:dyDescent="0.25">
      <c r="G57"/>
      <c r="H57"/>
      <c r="I57"/>
      <c r="J57"/>
      <c r="K57"/>
      <c r="L57"/>
      <c r="M57"/>
      <c r="N57"/>
      <c r="O57"/>
      <c r="P57"/>
      <c r="Q57"/>
      <c r="R57"/>
      <c r="S57" s="76"/>
    </row>
    <row r="58" spans="7:19" ht="12" customHeight="1" x14ac:dyDescent="0.25">
      <c r="G58"/>
      <c r="H58"/>
      <c r="I58"/>
      <c r="J58"/>
      <c r="K58"/>
      <c r="L58"/>
      <c r="M58"/>
      <c r="N58"/>
      <c r="O58"/>
      <c r="P58"/>
      <c r="Q58"/>
      <c r="R58"/>
      <c r="S58" s="76"/>
    </row>
    <row r="59" spans="7:19" ht="12" customHeight="1" x14ac:dyDescent="0.25">
      <c r="G59"/>
      <c r="H59"/>
      <c r="I59"/>
      <c r="J59"/>
      <c r="K59"/>
      <c r="L59"/>
      <c r="M59"/>
      <c r="N59"/>
      <c r="O59"/>
      <c r="P59"/>
      <c r="Q59"/>
      <c r="R59"/>
      <c r="S59" s="76"/>
    </row>
    <row r="60" spans="7:19" ht="12" customHeight="1" x14ac:dyDescent="0.25">
      <c r="G60"/>
      <c r="H60"/>
      <c r="I60"/>
      <c r="J60"/>
      <c r="K60"/>
      <c r="L60"/>
      <c r="M60"/>
      <c r="N60"/>
      <c r="O60"/>
      <c r="P60"/>
      <c r="Q60"/>
      <c r="R60"/>
      <c r="S60" s="76"/>
    </row>
    <row r="61" spans="7:19" ht="12" customHeight="1" x14ac:dyDescent="0.25">
      <c r="G61"/>
      <c r="H61"/>
      <c r="I61"/>
      <c r="J61"/>
      <c r="K61"/>
      <c r="L61"/>
      <c r="M61"/>
      <c r="N61"/>
      <c r="O61"/>
      <c r="P61"/>
      <c r="Q61"/>
      <c r="R61"/>
      <c r="S61" s="76"/>
    </row>
    <row r="62" spans="7:19" ht="12" customHeight="1" x14ac:dyDescent="0.25">
      <c r="G62"/>
      <c r="H62"/>
      <c r="I62"/>
      <c r="J62"/>
      <c r="K62"/>
      <c r="L62"/>
      <c r="M62"/>
      <c r="N62"/>
      <c r="O62"/>
      <c r="P62"/>
      <c r="Q62"/>
      <c r="R62"/>
      <c r="S62" s="76"/>
    </row>
    <row r="63" spans="7:19" ht="12" customHeight="1" x14ac:dyDescent="0.25">
      <c r="G63"/>
      <c r="H63"/>
      <c r="I63"/>
      <c r="J63"/>
      <c r="K63"/>
      <c r="L63"/>
      <c r="M63"/>
      <c r="N63"/>
      <c r="O63"/>
      <c r="P63"/>
      <c r="Q63"/>
      <c r="R63"/>
      <c r="S63" s="76"/>
    </row>
    <row r="64" spans="7:19" ht="12" customHeight="1" x14ac:dyDescent="0.25">
      <c r="G64"/>
      <c r="H64"/>
      <c r="I64"/>
      <c r="J64"/>
      <c r="K64"/>
      <c r="L64"/>
      <c r="M64"/>
      <c r="N64"/>
      <c r="O64"/>
      <c r="P64"/>
      <c r="Q64"/>
      <c r="R64"/>
      <c r="S64" s="76"/>
    </row>
    <row r="65" spans="7:19" ht="12" customHeight="1" x14ac:dyDescent="0.25">
      <c r="G65"/>
      <c r="H65"/>
      <c r="I65"/>
      <c r="J65"/>
      <c r="K65"/>
      <c r="L65"/>
      <c r="M65"/>
      <c r="N65"/>
      <c r="O65"/>
      <c r="P65"/>
      <c r="Q65"/>
      <c r="R65"/>
      <c r="S65" s="76"/>
    </row>
    <row r="66" spans="7:19" ht="12" customHeight="1" x14ac:dyDescent="0.25">
      <c r="G66"/>
      <c r="H66"/>
      <c r="I66"/>
      <c r="J66"/>
      <c r="K66"/>
      <c r="L66"/>
      <c r="M66"/>
      <c r="N66"/>
      <c r="O66"/>
      <c r="P66"/>
      <c r="Q66"/>
      <c r="R66"/>
      <c r="S66" s="76"/>
    </row>
    <row r="67" spans="7:19" x14ac:dyDescent="0.25">
      <c r="G67"/>
      <c r="H67"/>
      <c r="I67"/>
      <c r="J67"/>
      <c r="K67"/>
      <c r="L67"/>
      <c r="M67"/>
      <c r="N67"/>
      <c r="O67"/>
      <c r="P67"/>
      <c r="Q67"/>
      <c r="R67"/>
      <c r="S67" s="76"/>
    </row>
    <row r="68" spans="7:19" x14ac:dyDescent="0.25">
      <c r="G68"/>
      <c r="H68"/>
      <c r="I68"/>
      <c r="J68"/>
      <c r="K68"/>
      <c r="L68"/>
      <c r="M68"/>
      <c r="N68"/>
      <c r="O68"/>
      <c r="P68"/>
      <c r="Q68"/>
      <c r="R68"/>
      <c r="S68" s="76"/>
    </row>
    <row r="69" spans="7:19" ht="45" customHeight="1" x14ac:dyDescent="0.25">
      <c r="G69"/>
      <c r="H69"/>
      <c r="I69"/>
      <c r="J69"/>
      <c r="K69"/>
      <c r="L69"/>
      <c r="M69"/>
      <c r="N69"/>
      <c r="O69"/>
      <c r="P69"/>
      <c r="Q69"/>
      <c r="R69"/>
      <c r="S69" s="81"/>
    </row>
  </sheetData>
  <mergeCells count="3">
    <mergeCell ref="G20:O20"/>
    <mergeCell ref="E1:R1"/>
    <mergeCell ref="G30:R30"/>
  </mergeCells>
  <pageMargins left="0.7" right="0.7" top="0.75" bottom="0.75" header="0.3" footer="0.3"/>
  <pageSetup paperSize="3"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169E5-8C6E-41DF-952A-6B15A650FE53}">
  <sheetPr>
    <tabColor theme="4"/>
  </sheetPr>
  <dimension ref="B1:W56"/>
  <sheetViews>
    <sheetView topLeftCell="A16" zoomScale="85" zoomScaleNormal="85" workbookViewId="0">
      <selection activeCell="M11" sqref="M11"/>
    </sheetView>
  </sheetViews>
  <sheetFormatPr defaultRowHeight="15" x14ac:dyDescent="0.25"/>
  <cols>
    <col min="1" max="1" width="9.28515625" customWidth="1"/>
    <col min="2" max="2" width="10.42578125" bestFit="1" customWidth="1"/>
    <col min="4" max="4" width="8.42578125" bestFit="1" customWidth="1"/>
    <col min="5" max="5" width="9.7109375" bestFit="1" customWidth="1"/>
    <col min="16" max="16" width="18.140625" bestFit="1" customWidth="1"/>
    <col min="20" max="20" width="18" bestFit="1" customWidth="1"/>
    <col min="21" max="21" width="17.28515625" customWidth="1"/>
  </cols>
  <sheetData>
    <row r="1" spans="2:23" ht="15.75" thickBot="1" x14ac:dyDescent="0.3"/>
    <row r="2" spans="2:23" x14ac:dyDescent="0.25">
      <c r="B2" s="344" t="s">
        <v>90</v>
      </c>
      <c r="C2" s="345"/>
      <c r="D2" s="345"/>
      <c r="E2" s="345"/>
      <c r="F2" s="345"/>
      <c r="G2" s="345"/>
      <c r="H2" s="345"/>
      <c r="I2" s="345"/>
      <c r="J2" s="345"/>
      <c r="K2" s="345"/>
      <c r="L2" s="345"/>
      <c r="M2" s="345"/>
      <c r="N2" s="345"/>
      <c r="O2" s="345"/>
      <c r="P2" s="345"/>
      <c r="Q2" s="345"/>
      <c r="R2" s="346"/>
    </row>
    <row r="3" spans="2:23" x14ac:dyDescent="0.25">
      <c r="B3" s="11"/>
      <c r="C3" s="343" t="s">
        <v>242</v>
      </c>
      <c r="D3" s="343"/>
      <c r="E3" s="343"/>
      <c r="F3" s="343"/>
      <c r="G3" s="343" t="s">
        <v>245</v>
      </c>
      <c r="H3" s="343"/>
      <c r="I3" s="343"/>
      <c r="J3" s="343" t="s">
        <v>246</v>
      </c>
      <c r="K3" s="343"/>
      <c r="L3" s="343"/>
      <c r="M3" s="343" t="s">
        <v>244</v>
      </c>
      <c r="N3" s="343"/>
      <c r="O3" s="343"/>
      <c r="P3" s="343" t="s">
        <v>9</v>
      </c>
      <c r="Q3" s="343"/>
      <c r="R3" s="347"/>
    </row>
    <row r="4" spans="2:23" ht="15.75" thickBot="1" x14ac:dyDescent="0.3">
      <c r="B4" s="348" t="s">
        <v>255</v>
      </c>
      <c r="C4" s="349"/>
      <c r="D4" s="349"/>
      <c r="E4" s="194">
        <v>0</v>
      </c>
      <c r="F4" s="194"/>
      <c r="G4" s="194">
        <v>0</v>
      </c>
      <c r="H4" s="194"/>
      <c r="I4" s="194"/>
      <c r="J4" s="194">
        <v>0</v>
      </c>
      <c r="K4" s="194"/>
      <c r="L4" s="194"/>
      <c r="M4" s="194">
        <v>0</v>
      </c>
      <c r="N4" s="194"/>
      <c r="O4" s="194"/>
      <c r="P4" s="194">
        <v>0</v>
      </c>
      <c r="Q4" s="194"/>
      <c r="R4" s="195"/>
    </row>
    <row r="5" spans="2:23" ht="15.75" thickBot="1" x14ac:dyDescent="0.3">
      <c r="B5" s="350" t="s">
        <v>256</v>
      </c>
      <c r="C5" s="350"/>
      <c r="D5" s="350"/>
      <c r="E5" s="223">
        <v>4</v>
      </c>
      <c r="F5" s="223"/>
      <c r="G5" s="223">
        <v>4</v>
      </c>
      <c r="H5" s="223"/>
      <c r="I5" s="223"/>
      <c r="J5" s="223">
        <v>4</v>
      </c>
      <c r="K5" s="223"/>
      <c r="L5" s="223"/>
      <c r="M5" s="223">
        <v>4</v>
      </c>
      <c r="N5" s="223"/>
      <c r="O5" s="223"/>
      <c r="P5" s="223">
        <v>4</v>
      </c>
      <c r="Q5" s="223"/>
      <c r="R5" s="223"/>
    </row>
    <row r="6" spans="2:23" ht="16.5" thickTop="1" thickBot="1" x14ac:dyDescent="0.3"/>
    <row r="7" spans="2:23" x14ac:dyDescent="0.25">
      <c r="B7" s="352" t="s">
        <v>294</v>
      </c>
      <c r="C7" s="353"/>
      <c r="D7" s="353"/>
      <c r="E7" s="353"/>
      <c r="F7" s="353"/>
      <c r="G7" s="353"/>
      <c r="H7" s="353"/>
      <c r="I7" s="353"/>
      <c r="J7" s="353"/>
      <c r="K7" s="353"/>
      <c r="L7" s="353"/>
      <c r="M7" s="353"/>
      <c r="N7" s="353"/>
      <c r="O7" s="353"/>
      <c r="P7" s="353"/>
      <c r="Q7" s="353"/>
      <c r="R7" s="354"/>
      <c r="T7" s="351" t="s">
        <v>258</v>
      </c>
      <c r="U7" s="351"/>
      <c r="V7" s="351"/>
    </row>
    <row r="8" spans="2:23" x14ac:dyDescent="0.25">
      <c r="B8" s="11"/>
      <c r="C8" s="343" t="s">
        <v>242</v>
      </c>
      <c r="D8" s="343"/>
      <c r="E8" s="343"/>
      <c r="F8" s="343"/>
      <c r="G8" s="343" t="s">
        <v>245</v>
      </c>
      <c r="H8" s="343"/>
      <c r="I8" s="343"/>
      <c r="J8" s="343" t="s">
        <v>246</v>
      </c>
      <c r="K8" s="343"/>
      <c r="L8" s="343"/>
      <c r="M8" s="343" t="s">
        <v>244</v>
      </c>
      <c r="N8" s="343"/>
      <c r="O8" s="343"/>
      <c r="P8" s="343" t="s">
        <v>9</v>
      </c>
      <c r="Q8" s="343"/>
      <c r="R8" s="347"/>
      <c r="T8">
        <f>MIN(E14,E24,E34,E44,E54,E4)</f>
        <v>0</v>
      </c>
      <c r="U8">
        <f>U11*0.15</f>
        <v>116.55</v>
      </c>
      <c r="V8">
        <v>4</v>
      </c>
      <c r="W8" t="s">
        <v>260</v>
      </c>
    </row>
    <row r="9" spans="2:23" x14ac:dyDescent="0.25">
      <c r="B9" s="11"/>
      <c r="C9" s="26" t="s">
        <v>248</v>
      </c>
      <c r="D9" s="26" t="s">
        <v>253</v>
      </c>
      <c r="E9" s="26" t="s">
        <v>254</v>
      </c>
      <c r="F9" s="26"/>
      <c r="G9" s="343" t="s">
        <v>252</v>
      </c>
      <c r="H9" s="343"/>
      <c r="I9" s="343"/>
      <c r="J9" s="343" t="s">
        <v>252</v>
      </c>
      <c r="K9" s="343"/>
      <c r="L9" s="343"/>
      <c r="M9" s="343" t="s">
        <v>248</v>
      </c>
      <c r="N9" s="343"/>
      <c r="O9" s="343"/>
      <c r="P9" s="343" t="s">
        <v>288</v>
      </c>
      <c r="Q9" s="343"/>
      <c r="R9" s="347"/>
      <c r="T9">
        <f>U8</f>
        <v>116.55</v>
      </c>
      <c r="U9">
        <f>AVERAGE(U11,T8)</f>
        <v>388.5</v>
      </c>
      <c r="V9">
        <v>3</v>
      </c>
    </row>
    <row r="10" spans="2:23" x14ac:dyDescent="0.25">
      <c r="B10" s="11" t="s">
        <v>247</v>
      </c>
      <c r="C10" s="26">
        <v>33</v>
      </c>
      <c r="D10" s="26">
        <v>2</v>
      </c>
      <c r="E10" s="26">
        <f>C10*D10</f>
        <v>66</v>
      </c>
      <c r="F10" s="26"/>
      <c r="G10" s="26">
        <v>50</v>
      </c>
      <c r="H10" s="26"/>
      <c r="I10" s="26"/>
      <c r="J10" s="26">
        <v>33</v>
      </c>
      <c r="K10" s="26"/>
      <c r="L10" s="26"/>
      <c r="M10" s="26">
        <v>366</v>
      </c>
      <c r="N10" s="26"/>
      <c r="O10" s="26"/>
      <c r="P10" s="224">
        <v>1340602873</v>
      </c>
      <c r="Q10" s="26"/>
      <c r="R10" s="189"/>
      <c r="T10">
        <f>AVERAGE(U11,T8)</f>
        <v>388.5</v>
      </c>
      <c r="U10">
        <f>T11</f>
        <v>660.44999999999993</v>
      </c>
      <c r="V10">
        <v>2</v>
      </c>
    </row>
    <row r="11" spans="2:23" x14ac:dyDescent="0.25">
      <c r="B11" s="11" t="s">
        <v>249</v>
      </c>
      <c r="C11" s="26">
        <v>81</v>
      </c>
      <c r="D11" s="26">
        <v>5</v>
      </c>
      <c r="E11" s="26">
        <f t="shared" ref="E11:E13" si="0">C11*D11</f>
        <v>405</v>
      </c>
      <c r="F11" s="26"/>
      <c r="G11" s="26"/>
      <c r="H11" s="26"/>
      <c r="I11" s="26"/>
      <c r="J11" s="26"/>
      <c r="K11" s="26"/>
      <c r="L11" s="26"/>
      <c r="M11" s="26"/>
      <c r="N11" s="26"/>
      <c r="O11" s="26"/>
      <c r="P11" s="26"/>
      <c r="Q11" s="26"/>
      <c r="R11" s="189"/>
      <c r="T11">
        <f>U11*0.85</f>
        <v>660.44999999999993</v>
      </c>
      <c r="U11">
        <f>MAX(E14,E24,E34,E44,E54)</f>
        <v>777</v>
      </c>
      <c r="V11">
        <v>1</v>
      </c>
      <c r="W11" t="s">
        <v>261</v>
      </c>
    </row>
    <row r="12" spans="2:23" x14ac:dyDescent="0.25">
      <c r="B12" s="11" t="s">
        <v>250</v>
      </c>
      <c r="C12" s="26">
        <v>283</v>
      </c>
      <c r="D12" s="26">
        <v>0.5</v>
      </c>
      <c r="E12" s="26">
        <f t="shared" si="0"/>
        <v>141.5</v>
      </c>
      <c r="F12" s="26"/>
      <c r="G12" s="26"/>
      <c r="H12" s="26"/>
      <c r="I12" s="26"/>
      <c r="J12" s="26"/>
      <c r="K12" s="26"/>
      <c r="L12" s="26"/>
      <c r="M12" s="26"/>
      <c r="N12" s="26"/>
      <c r="O12" s="26"/>
      <c r="P12" s="26"/>
      <c r="Q12" s="26"/>
      <c r="R12" s="189"/>
    </row>
    <row r="13" spans="2:23" x14ac:dyDescent="0.25">
      <c r="B13" s="11" t="s">
        <v>251</v>
      </c>
      <c r="C13" s="26">
        <v>83</v>
      </c>
      <c r="D13" s="26">
        <v>1</v>
      </c>
      <c r="E13" s="26">
        <f t="shared" si="0"/>
        <v>83</v>
      </c>
      <c r="F13" s="26"/>
      <c r="G13" s="26"/>
      <c r="H13" s="26"/>
      <c r="I13" s="26"/>
      <c r="J13" s="26"/>
      <c r="K13" s="26"/>
      <c r="L13" s="26"/>
      <c r="M13" s="26"/>
      <c r="N13" s="26"/>
      <c r="O13" s="26"/>
      <c r="P13" s="26"/>
      <c r="Q13" s="26"/>
      <c r="R13" s="189"/>
      <c r="T13" s="351" t="s">
        <v>257</v>
      </c>
      <c r="U13" s="351"/>
      <c r="V13" s="351"/>
    </row>
    <row r="14" spans="2:23" ht="15.75" thickBot="1" x14ac:dyDescent="0.3">
      <c r="B14" s="348" t="s">
        <v>255</v>
      </c>
      <c r="C14" s="349"/>
      <c r="D14" s="349"/>
      <c r="E14" s="190">
        <f>SUM(E10:E13)</f>
        <v>695.5</v>
      </c>
      <c r="F14" s="190"/>
      <c r="G14" s="190"/>
      <c r="H14" s="190"/>
      <c r="I14" s="190"/>
      <c r="J14" s="190"/>
      <c r="K14" s="190"/>
      <c r="L14" s="190"/>
      <c r="M14" s="190"/>
      <c r="N14" s="190"/>
      <c r="O14" s="190"/>
      <c r="P14" s="190"/>
      <c r="Q14" s="190"/>
      <c r="R14" s="191"/>
      <c r="T14">
        <f>MIN(G10,G20,G30,G40,G50,G4)</f>
        <v>0</v>
      </c>
      <c r="U14">
        <f>U17*0.15</f>
        <v>13.049999999999999</v>
      </c>
      <c r="V14">
        <v>4</v>
      </c>
      <c r="W14" t="s">
        <v>260</v>
      </c>
    </row>
    <row r="15" spans="2:23" ht="15.75" thickBot="1" x14ac:dyDescent="0.3">
      <c r="B15" s="350" t="s">
        <v>256</v>
      </c>
      <c r="C15" s="350"/>
      <c r="D15" s="350"/>
      <c r="E15" s="223">
        <f>IF(E14&lt;$U$8,$V$8,IF(E14&lt;$U$9,$V$9,IF(E14&lt;$U$10,$V$10,$V$11)))</f>
        <v>1</v>
      </c>
      <c r="F15" s="223"/>
      <c r="G15" s="223">
        <f>IF(G10&lt;$U$14,$V$14,IF(G10&lt;$U$15,$V$15,IF(G10&lt;$U$16,$V$16,$V$17)))</f>
        <v>2</v>
      </c>
      <c r="H15" s="223"/>
      <c r="I15" s="223"/>
      <c r="J15" s="223">
        <f>IF(J10&lt;$U$20,$V$20,IF(J10&lt;$U$21,$V$21,IF(J10&lt;$U$22,$V$22,$V$23)))</f>
        <v>3</v>
      </c>
      <c r="K15" s="223"/>
      <c r="L15" s="223"/>
      <c r="M15" s="223">
        <f>IF(M10&lt;$U$26,$V$26,IF(M10&lt;$U$27,$V$27,IF(M10&lt;$U$28,$V$28,$V$29)))</f>
        <v>1</v>
      </c>
      <c r="N15" s="223"/>
      <c r="O15" s="223"/>
      <c r="P15" s="193">
        <f>IF(P10&lt;$U$33,$V$33,IF(P10&lt;$U$34,$V$34,IF(P10&lt;$U$35,$V$35,$V$36)))</f>
        <v>1</v>
      </c>
      <c r="Q15" s="193"/>
      <c r="R15" s="193"/>
      <c r="T15">
        <f>U14</f>
        <v>13.049999999999999</v>
      </c>
      <c r="U15">
        <f>AVERAGE(U17,T14)</f>
        <v>43.5</v>
      </c>
      <c r="V15">
        <v>3</v>
      </c>
    </row>
    <row r="16" spans="2:23" ht="16.5" thickTop="1" thickBot="1" x14ac:dyDescent="0.3">
      <c r="P16" s="26"/>
      <c r="Q16" s="26"/>
      <c r="R16" s="26"/>
      <c r="T16">
        <f>AVERAGE(U17,T14)</f>
        <v>43.5</v>
      </c>
      <c r="U16">
        <f>T17</f>
        <v>73.95</v>
      </c>
      <c r="V16">
        <v>2</v>
      </c>
    </row>
    <row r="17" spans="2:23" x14ac:dyDescent="0.25">
      <c r="B17" s="355" t="s">
        <v>295</v>
      </c>
      <c r="C17" s="356"/>
      <c r="D17" s="356"/>
      <c r="E17" s="356"/>
      <c r="F17" s="356"/>
      <c r="G17" s="356"/>
      <c r="H17" s="356"/>
      <c r="I17" s="356"/>
      <c r="J17" s="356"/>
      <c r="K17" s="356"/>
      <c r="L17" s="356"/>
      <c r="M17" s="356"/>
      <c r="N17" s="356"/>
      <c r="O17" s="356"/>
      <c r="P17" s="356"/>
      <c r="Q17" s="356"/>
      <c r="R17" s="357"/>
      <c r="T17">
        <f>U17*0.85</f>
        <v>73.95</v>
      </c>
      <c r="U17">
        <f>MAX(G10,G20,G30,G40,G50,G4)</f>
        <v>87</v>
      </c>
      <c r="V17">
        <v>1</v>
      </c>
      <c r="W17" t="s">
        <v>261</v>
      </c>
    </row>
    <row r="18" spans="2:23" x14ac:dyDescent="0.25">
      <c r="B18" s="11"/>
      <c r="C18" s="343" t="s">
        <v>242</v>
      </c>
      <c r="D18" s="343"/>
      <c r="E18" s="343"/>
      <c r="F18" s="343"/>
      <c r="G18" s="343" t="s">
        <v>245</v>
      </c>
      <c r="H18" s="343"/>
      <c r="I18" s="343"/>
      <c r="J18" s="343" t="s">
        <v>246</v>
      </c>
      <c r="K18" s="343"/>
      <c r="L18" s="343"/>
      <c r="M18" s="343" t="s">
        <v>244</v>
      </c>
      <c r="N18" s="343"/>
      <c r="O18" s="343"/>
      <c r="P18" s="343" t="s">
        <v>9</v>
      </c>
      <c r="Q18" s="343"/>
      <c r="R18" s="347"/>
    </row>
    <row r="19" spans="2:23" x14ac:dyDescent="0.25">
      <c r="B19" s="11"/>
      <c r="C19" s="26" t="s">
        <v>248</v>
      </c>
      <c r="D19" s="26" t="s">
        <v>253</v>
      </c>
      <c r="E19" s="26" t="s">
        <v>254</v>
      </c>
      <c r="F19" s="26"/>
      <c r="G19" s="343" t="s">
        <v>252</v>
      </c>
      <c r="H19" s="343"/>
      <c r="I19" s="343"/>
      <c r="J19" s="343" t="s">
        <v>252</v>
      </c>
      <c r="K19" s="343"/>
      <c r="L19" s="343"/>
      <c r="M19" s="343" t="s">
        <v>248</v>
      </c>
      <c r="N19" s="343"/>
      <c r="O19" s="343"/>
      <c r="P19" s="343" t="s">
        <v>288</v>
      </c>
      <c r="Q19" s="343"/>
      <c r="R19" s="347"/>
      <c r="T19" s="351" t="s">
        <v>243</v>
      </c>
      <c r="U19" s="351"/>
      <c r="V19" s="351"/>
    </row>
    <row r="20" spans="2:23" x14ac:dyDescent="0.25">
      <c r="B20" s="11" t="s">
        <v>247</v>
      </c>
      <c r="C20" s="26">
        <v>17</v>
      </c>
      <c r="D20" s="26">
        <v>2</v>
      </c>
      <c r="E20" s="26">
        <f>C20*D20</f>
        <v>34</v>
      </c>
      <c r="F20" s="26"/>
      <c r="G20" s="26">
        <v>47</v>
      </c>
      <c r="H20" s="26"/>
      <c r="I20" s="26"/>
      <c r="J20" s="26">
        <v>40</v>
      </c>
      <c r="K20" s="26"/>
      <c r="L20" s="26"/>
      <c r="M20" s="26">
        <v>361</v>
      </c>
      <c r="N20" s="26"/>
      <c r="O20" s="26"/>
      <c r="P20" s="224">
        <v>1450881670</v>
      </c>
      <c r="Q20" s="26"/>
      <c r="R20" s="189"/>
      <c r="T20">
        <f>MIN(J10,J20,J30,J40,J50,J4)</f>
        <v>0</v>
      </c>
      <c r="U20">
        <f>U23*0.15</f>
        <v>32.549999999999997</v>
      </c>
      <c r="V20">
        <v>4</v>
      </c>
      <c r="W20" t="s">
        <v>260</v>
      </c>
    </row>
    <row r="21" spans="2:23" x14ac:dyDescent="0.25">
      <c r="B21" s="11" t="s">
        <v>249</v>
      </c>
      <c r="C21" s="26">
        <v>82</v>
      </c>
      <c r="D21" s="26">
        <v>5</v>
      </c>
      <c r="E21" s="26">
        <f t="shared" ref="E21:E23" si="1">C21*D21</f>
        <v>410</v>
      </c>
      <c r="F21" s="26"/>
      <c r="G21" s="26"/>
      <c r="H21" s="26"/>
      <c r="I21" s="26"/>
      <c r="J21" s="26"/>
      <c r="K21" s="26"/>
      <c r="L21" s="26"/>
      <c r="M21" s="26"/>
      <c r="N21" s="26"/>
      <c r="O21" s="26"/>
      <c r="P21" s="26"/>
      <c r="Q21" s="26"/>
      <c r="R21" s="189"/>
      <c r="T21">
        <f>U20</f>
        <v>32.549999999999997</v>
      </c>
      <c r="U21">
        <f>AVERAGE(U23,T20)</f>
        <v>108.5</v>
      </c>
      <c r="V21">
        <v>3</v>
      </c>
    </row>
    <row r="22" spans="2:23" x14ac:dyDescent="0.25">
      <c r="B22" s="11" t="s">
        <v>250</v>
      </c>
      <c r="C22" s="26">
        <v>336</v>
      </c>
      <c r="D22" s="26">
        <v>0.5</v>
      </c>
      <c r="E22" s="26">
        <f t="shared" si="1"/>
        <v>168</v>
      </c>
      <c r="F22" s="26"/>
      <c r="G22" s="26"/>
      <c r="H22" s="26"/>
      <c r="I22" s="26"/>
      <c r="J22" s="26"/>
      <c r="K22" s="26"/>
      <c r="L22" s="26"/>
      <c r="M22" s="26"/>
      <c r="N22" s="26"/>
      <c r="O22" s="26"/>
      <c r="P22" s="26"/>
      <c r="Q22" s="26"/>
      <c r="R22" s="189"/>
      <c r="T22">
        <f>AVERAGE(U23,T20)</f>
        <v>108.5</v>
      </c>
      <c r="U22">
        <f>T23</f>
        <v>184.45</v>
      </c>
      <c r="V22">
        <v>2</v>
      </c>
    </row>
    <row r="23" spans="2:23" x14ac:dyDescent="0.25">
      <c r="B23" s="11" t="s">
        <v>251</v>
      </c>
      <c r="C23" s="26">
        <v>165</v>
      </c>
      <c r="D23" s="26">
        <v>1</v>
      </c>
      <c r="E23" s="26">
        <f t="shared" si="1"/>
        <v>165</v>
      </c>
      <c r="F23" s="26"/>
      <c r="G23" s="26"/>
      <c r="H23" s="26"/>
      <c r="I23" s="26"/>
      <c r="J23" s="26"/>
      <c r="K23" s="26"/>
      <c r="L23" s="26"/>
      <c r="M23" s="26"/>
      <c r="N23" s="26"/>
      <c r="O23" s="26"/>
      <c r="P23" s="26"/>
      <c r="Q23" s="26"/>
      <c r="R23" s="189"/>
      <c r="T23">
        <f>U23*0.85</f>
        <v>184.45</v>
      </c>
      <c r="U23">
        <f>MAX(J10,J20,J30,J40,J50,J4)</f>
        <v>217</v>
      </c>
      <c r="V23">
        <v>1</v>
      </c>
      <c r="W23" t="s">
        <v>261</v>
      </c>
    </row>
    <row r="24" spans="2:23" ht="15.75" thickBot="1" x14ac:dyDescent="0.3">
      <c r="B24" s="348" t="s">
        <v>255</v>
      </c>
      <c r="C24" s="349"/>
      <c r="D24" s="349"/>
      <c r="E24" s="190">
        <f>SUM(E20:E23)</f>
        <v>777</v>
      </c>
      <c r="F24" s="190"/>
      <c r="G24" s="190"/>
      <c r="H24" s="190"/>
      <c r="I24" s="190"/>
      <c r="J24" s="190"/>
      <c r="K24" s="190"/>
      <c r="L24" s="190"/>
      <c r="M24" s="190"/>
      <c r="N24" s="190"/>
      <c r="O24" s="190"/>
      <c r="P24" s="190"/>
      <c r="Q24" s="190"/>
      <c r="R24" s="191"/>
    </row>
    <row r="25" spans="2:23" ht="15.75" thickBot="1" x14ac:dyDescent="0.3">
      <c r="B25" s="350" t="s">
        <v>256</v>
      </c>
      <c r="C25" s="350"/>
      <c r="D25" s="350"/>
      <c r="E25" s="223">
        <f>IF(E24&lt;$U$8,$V$8,IF(E24&lt;$U$9,$V$9,IF(E24&lt;$U$10,$V$10,$V$11)))</f>
        <v>1</v>
      </c>
      <c r="F25" s="223"/>
      <c r="G25" s="223">
        <f>IF(G20&lt;$U$14,$V$14,IF(G20&lt;$U$15,$V$15,IF(G20&lt;$U$16,$V$16,$V$17)))</f>
        <v>2</v>
      </c>
      <c r="H25" s="223"/>
      <c r="I25" s="223"/>
      <c r="J25" s="223">
        <f>IF(J20&lt;$U$20,$V$20,IF(J20&lt;$U$21,$V$21,IF(J20&lt;$U$22,$V$22,$V$23)))</f>
        <v>3</v>
      </c>
      <c r="K25" s="223"/>
      <c r="L25" s="223"/>
      <c r="M25" s="223">
        <f>IF(M20&lt;$U$26,$V$26,IF(M20&lt;$U$27,$V$27,IF(M20&lt;$U$28,$V$28,$V$29)))</f>
        <v>1</v>
      </c>
      <c r="N25" s="223"/>
      <c r="O25" s="223"/>
      <c r="P25" s="193">
        <f>IF(P20&lt;$U$33,$V$33,IF(P20&lt;$U$34,$V$34,IF(P20&lt;$U$35,$V$35,$V$36)))</f>
        <v>1</v>
      </c>
      <c r="Q25" s="193"/>
      <c r="R25" s="193"/>
      <c r="T25" s="351" t="s">
        <v>259</v>
      </c>
      <c r="U25" s="351"/>
      <c r="V25" s="351"/>
    </row>
    <row r="26" spans="2:23" ht="15.75" customHeight="1" thickTop="1" thickBot="1" x14ac:dyDescent="0.3">
      <c r="P26" s="26"/>
      <c r="Q26" s="26"/>
      <c r="R26" s="26"/>
      <c r="T26">
        <f>MIN(M10,M20,M30,M40,M50,M4)</f>
        <v>0</v>
      </c>
      <c r="U26">
        <f>U29*0.15</f>
        <v>54.9</v>
      </c>
      <c r="V26">
        <v>4</v>
      </c>
      <c r="W26" t="s">
        <v>260</v>
      </c>
    </row>
    <row r="27" spans="2:23" x14ac:dyDescent="0.25">
      <c r="B27" s="358" t="s">
        <v>296</v>
      </c>
      <c r="C27" s="359"/>
      <c r="D27" s="359"/>
      <c r="E27" s="359"/>
      <c r="F27" s="359"/>
      <c r="G27" s="359"/>
      <c r="H27" s="359"/>
      <c r="I27" s="359"/>
      <c r="J27" s="359"/>
      <c r="K27" s="359"/>
      <c r="L27" s="359"/>
      <c r="M27" s="359"/>
      <c r="N27" s="359"/>
      <c r="O27" s="359"/>
      <c r="P27" s="359"/>
      <c r="Q27" s="359"/>
      <c r="R27" s="360"/>
      <c r="T27">
        <f>U26</f>
        <v>54.9</v>
      </c>
      <c r="U27">
        <f>AVERAGE(U29,T26)</f>
        <v>183</v>
      </c>
      <c r="V27">
        <v>3</v>
      </c>
    </row>
    <row r="28" spans="2:23" x14ac:dyDescent="0.25">
      <c r="B28" s="11"/>
      <c r="C28" s="343" t="s">
        <v>242</v>
      </c>
      <c r="D28" s="343"/>
      <c r="E28" s="343"/>
      <c r="F28" s="343"/>
      <c r="G28" s="343" t="s">
        <v>245</v>
      </c>
      <c r="H28" s="343"/>
      <c r="I28" s="343"/>
      <c r="J28" s="343" t="s">
        <v>246</v>
      </c>
      <c r="K28" s="343"/>
      <c r="L28" s="343"/>
      <c r="M28" s="343" t="s">
        <v>244</v>
      </c>
      <c r="N28" s="343"/>
      <c r="O28" s="343"/>
      <c r="P28" s="343" t="s">
        <v>9</v>
      </c>
      <c r="Q28" s="343"/>
      <c r="R28" s="347"/>
      <c r="T28">
        <f>AVERAGE(U29,T26)</f>
        <v>183</v>
      </c>
      <c r="U28">
        <f>T29</f>
        <v>311.09999999999997</v>
      </c>
      <c r="V28">
        <v>2</v>
      </c>
    </row>
    <row r="29" spans="2:23" x14ac:dyDescent="0.25">
      <c r="B29" s="11"/>
      <c r="C29" s="26" t="s">
        <v>248</v>
      </c>
      <c r="D29" s="26" t="s">
        <v>253</v>
      </c>
      <c r="E29" s="26" t="s">
        <v>254</v>
      </c>
      <c r="F29" s="26"/>
      <c r="G29" s="343" t="s">
        <v>252</v>
      </c>
      <c r="H29" s="343"/>
      <c r="I29" s="343"/>
      <c r="J29" s="343" t="s">
        <v>252</v>
      </c>
      <c r="K29" s="343"/>
      <c r="L29" s="343"/>
      <c r="M29" s="343" t="s">
        <v>248</v>
      </c>
      <c r="N29" s="343"/>
      <c r="O29" s="343"/>
      <c r="P29" s="343" t="s">
        <v>288</v>
      </c>
      <c r="Q29" s="343"/>
      <c r="R29" s="347"/>
      <c r="T29">
        <f>U29*0.85</f>
        <v>311.09999999999997</v>
      </c>
      <c r="U29">
        <f>MAX(M10,M20,M30,M40,M50,M4)</f>
        <v>366</v>
      </c>
      <c r="V29">
        <v>1</v>
      </c>
      <c r="W29" t="s">
        <v>261</v>
      </c>
    </row>
    <row r="30" spans="2:23" x14ac:dyDescent="0.25">
      <c r="B30" s="11" t="s">
        <v>247</v>
      </c>
      <c r="C30" s="26">
        <v>31</v>
      </c>
      <c r="D30" s="26">
        <v>2</v>
      </c>
      <c r="E30" s="26">
        <f>C30*D30</f>
        <v>62</v>
      </c>
      <c r="F30" s="26"/>
      <c r="G30" s="26">
        <v>22</v>
      </c>
      <c r="H30" s="26"/>
      <c r="I30" s="26"/>
      <c r="J30" s="26">
        <v>21</v>
      </c>
      <c r="K30" s="26"/>
      <c r="L30" s="26"/>
      <c r="M30" s="26">
        <v>333</v>
      </c>
      <c r="N30" s="26"/>
      <c r="O30" s="26"/>
      <c r="P30" s="224">
        <v>1437433687</v>
      </c>
      <c r="Q30" s="26"/>
      <c r="R30" s="189"/>
    </row>
    <row r="31" spans="2:23" x14ac:dyDescent="0.25">
      <c r="B31" s="11" t="s">
        <v>249</v>
      </c>
      <c r="C31" s="26">
        <v>69</v>
      </c>
      <c r="D31" s="26">
        <v>5</v>
      </c>
      <c r="E31" s="26">
        <f t="shared" ref="E31:E33" si="2">C31*D31</f>
        <v>345</v>
      </c>
      <c r="F31" s="26"/>
      <c r="G31" s="26"/>
      <c r="H31" s="26"/>
      <c r="I31" s="26"/>
      <c r="J31" s="26"/>
      <c r="K31" s="26"/>
      <c r="L31" s="26"/>
      <c r="M31" s="26"/>
      <c r="N31" s="26"/>
      <c r="O31" s="26"/>
      <c r="P31" s="26"/>
      <c r="Q31" s="26"/>
      <c r="R31" s="189"/>
    </row>
    <row r="32" spans="2:23" x14ac:dyDescent="0.25">
      <c r="B32" s="11" t="s">
        <v>250</v>
      </c>
      <c r="C32" s="26">
        <v>348</v>
      </c>
      <c r="D32" s="26">
        <v>0.5</v>
      </c>
      <c r="E32" s="26">
        <f t="shared" si="2"/>
        <v>174</v>
      </c>
      <c r="F32" s="26"/>
      <c r="G32" s="26"/>
      <c r="H32" s="26"/>
      <c r="I32" s="26"/>
      <c r="J32" s="26"/>
      <c r="K32" s="26"/>
      <c r="L32" s="26"/>
      <c r="M32" s="26"/>
      <c r="N32" s="26"/>
      <c r="O32" s="26"/>
      <c r="P32" s="26"/>
      <c r="Q32" s="26"/>
      <c r="R32" s="189"/>
      <c r="T32" s="351" t="s">
        <v>9</v>
      </c>
      <c r="U32" s="351"/>
      <c r="V32" s="351"/>
    </row>
    <row r="33" spans="2:23" x14ac:dyDescent="0.25">
      <c r="B33" s="11" t="s">
        <v>251</v>
      </c>
      <c r="C33" s="26">
        <v>104</v>
      </c>
      <c r="D33" s="26">
        <v>1</v>
      </c>
      <c r="E33" s="26">
        <f t="shared" si="2"/>
        <v>104</v>
      </c>
      <c r="F33" s="26"/>
      <c r="G33" s="26"/>
      <c r="H33" s="26"/>
      <c r="I33" s="26"/>
      <c r="J33" s="26"/>
      <c r="K33" s="26"/>
      <c r="L33" s="26"/>
      <c r="M33" s="26"/>
      <c r="N33" s="26"/>
      <c r="O33" s="26"/>
      <c r="P33" s="26"/>
      <c r="Q33" s="26"/>
      <c r="R33" s="189"/>
      <c r="T33" s="226">
        <f>MIN(P20,P30,P40,P50,M57,P10)</f>
        <v>1203110110.168</v>
      </c>
      <c r="U33" s="226">
        <f>U36*0.2</f>
        <v>290176334</v>
      </c>
      <c r="V33">
        <v>4</v>
      </c>
    </row>
    <row r="34" spans="2:23" ht="15.75" thickBot="1" x14ac:dyDescent="0.3">
      <c r="B34" s="348" t="s">
        <v>255</v>
      </c>
      <c r="C34" s="349"/>
      <c r="D34" s="349"/>
      <c r="E34" s="190">
        <f>SUM(E30:E33)</f>
        <v>685</v>
      </c>
      <c r="F34" s="190"/>
      <c r="G34" s="190"/>
      <c r="H34" s="190"/>
      <c r="I34" s="190"/>
      <c r="J34" s="190"/>
      <c r="K34" s="190"/>
      <c r="L34" s="190"/>
      <c r="M34" s="190"/>
      <c r="N34" s="190"/>
      <c r="O34" s="190"/>
      <c r="P34" s="190"/>
      <c r="Q34" s="190"/>
      <c r="R34" s="191"/>
      <c r="T34" s="226">
        <f>U33</f>
        <v>290176334</v>
      </c>
      <c r="U34" s="226">
        <f>T36*0.8</f>
        <v>1044634802.4000001</v>
      </c>
      <c r="V34">
        <v>3</v>
      </c>
      <c r="W34" t="s">
        <v>291</v>
      </c>
    </row>
    <row r="35" spans="2:23" ht="15.75" thickBot="1" x14ac:dyDescent="0.3">
      <c r="B35" s="350" t="s">
        <v>256</v>
      </c>
      <c r="C35" s="350"/>
      <c r="D35" s="350"/>
      <c r="E35" s="223">
        <f>IF(E34&lt;$U$8,$V$8,IF(E34&lt;$U$9,$V$9,IF(E34&lt;$U$10,$V$10,$V$11)))</f>
        <v>1</v>
      </c>
      <c r="F35" s="223"/>
      <c r="G35" s="223">
        <f>IF(G30&lt;$U$14,$V$14,IF(G30&lt;$U$15,$V$15,IF(G30&lt;$U$16,$V$16,$V$17)))</f>
        <v>3</v>
      </c>
      <c r="H35" s="223"/>
      <c r="I35" s="223"/>
      <c r="J35" s="223">
        <f>IF(J30&lt;$U$20,$V$20,IF(J30&lt;$U$21,$V$21,IF(J30&lt;$U$22,$V$22,$V$23)))</f>
        <v>4</v>
      </c>
      <c r="K35" s="223"/>
      <c r="L35" s="223"/>
      <c r="M35" s="223">
        <f>IF(M30&lt;$U$26,$V$26,IF(M30&lt;$U$27,$V$27,IF(M30&lt;$U$28,$V$28,$V$29)))</f>
        <v>1</v>
      </c>
      <c r="N35" s="223"/>
      <c r="O35" s="223"/>
      <c r="P35" s="225">
        <f>IF(P30&lt;$U$33,$V$33,IF(P30&lt;$U$34,$V$34,IF(P30&lt;$U$35,$V$35,$V$36)))</f>
        <v>1</v>
      </c>
      <c r="Q35" s="193"/>
      <c r="R35" s="193"/>
      <c r="T35" s="226">
        <f>AVERAGE(U36,T33)</f>
        <v>1326995890.0840001</v>
      </c>
      <c r="U35" s="226">
        <f>T36</f>
        <v>1305793503</v>
      </c>
      <c r="V35">
        <v>2</v>
      </c>
      <c r="W35" t="s">
        <v>289</v>
      </c>
    </row>
    <row r="36" spans="2:23" ht="16.5" thickTop="1" thickBot="1" x14ac:dyDescent="0.3">
      <c r="P36" s="26"/>
      <c r="Q36" s="26"/>
      <c r="R36" s="26"/>
      <c r="T36" s="226">
        <f>U36*0.9</f>
        <v>1305793503</v>
      </c>
      <c r="U36" s="226">
        <f>MAX(P20,P30,P40,P50,M57,P10)</f>
        <v>1450881670</v>
      </c>
      <c r="V36">
        <v>1</v>
      </c>
      <c r="W36" t="s">
        <v>290</v>
      </c>
    </row>
    <row r="37" spans="2:23" x14ac:dyDescent="0.25">
      <c r="B37" s="361" t="s">
        <v>292</v>
      </c>
      <c r="C37" s="362"/>
      <c r="D37" s="362"/>
      <c r="E37" s="362"/>
      <c r="F37" s="362"/>
      <c r="G37" s="362"/>
      <c r="H37" s="362"/>
      <c r="I37" s="362"/>
      <c r="J37" s="362"/>
      <c r="K37" s="362"/>
      <c r="L37" s="362"/>
      <c r="M37" s="362"/>
      <c r="N37" s="362"/>
      <c r="O37" s="362"/>
      <c r="P37" s="362"/>
      <c r="Q37" s="362"/>
      <c r="R37" s="363"/>
    </row>
    <row r="38" spans="2:23" x14ac:dyDescent="0.25">
      <c r="B38" s="11"/>
      <c r="C38" s="343" t="s">
        <v>242</v>
      </c>
      <c r="D38" s="343"/>
      <c r="E38" s="343"/>
      <c r="F38" s="343"/>
      <c r="G38" s="343" t="s">
        <v>245</v>
      </c>
      <c r="H38" s="343"/>
      <c r="I38" s="343"/>
      <c r="J38" s="343" t="s">
        <v>246</v>
      </c>
      <c r="K38" s="343"/>
      <c r="L38" s="343"/>
      <c r="M38" s="343" t="s">
        <v>244</v>
      </c>
      <c r="N38" s="343"/>
      <c r="O38" s="343"/>
      <c r="P38" s="343" t="s">
        <v>9</v>
      </c>
      <c r="Q38" s="343"/>
      <c r="R38" s="347"/>
    </row>
    <row r="39" spans="2:23" x14ac:dyDescent="0.25">
      <c r="B39" s="11"/>
      <c r="C39" s="26" t="s">
        <v>248</v>
      </c>
      <c r="D39" s="26" t="s">
        <v>253</v>
      </c>
      <c r="E39" s="26" t="s">
        <v>254</v>
      </c>
      <c r="F39" s="26"/>
      <c r="G39" s="343" t="s">
        <v>252</v>
      </c>
      <c r="H39" s="343"/>
      <c r="I39" s="343"/>
      <c r="J39" s="343" t="s">
        <v>252</v>
      </c>
      <c r="K39" s="343"/>
      <c r="L39" s="343"/>
      <c r="M39" s="343" t="s">
        <v>248</v>
      </c>
      <c r="N39" s="343"/>
      <c r="O39" s="343"/>
      <c r="P39" s="343" t="s">
        <v>288</v>
      </c>
      <c r="Q39" s="343"/>
      <c r="R39" s="347"/>
    </row>
    <row r="40" spans="2:23" x14ac:dyDescent="0.25">
      <c r="B40" s="11" t="s">
        <v>247</v>
      </c>
      <c r="C40" s="26">
        <v>33</v>
      </c>
      <c r="D40" s="26">
        <v>2</v>
      </c>
      <c r="E40" s="26">
        <f>C40*D40</f>
        <v>66</v>
      </c>
      <c r="F40" s="26"/>
      <c r="G40" s="26">
        <v>87</v>
      </c>
      <c r="H40" s="26"/>
      <c r="I40" s="26"/>
      <c r="J40" s="26">
        <v>217</v>
      </c>
      <c r="K40" s="26"/>
      <c r="L40" s="26"/>
      <c r="M40" s="26">
        <v>187</v>
      </c>
      <c r="N40" s="26"/>
      <c r="O40" s="26"/>
      <c r="P40" s="224">
        <v>1203440341.168</v>
      </c>
      <c r="Q40" s="26"/>
      <c r="R40" s="189"/>
    </row>
    <row r="41" spans="2:23" x14ac:dyDescent="0.25">
      <c r="B41" s="11" t="s">
        <v>249</v>
      </c>
      <c r="C41" s="26">
        <v>70</v>
      </c>
      <c r="D41" s="26">
        <v>5</v>
      </c>
      <c r="E41" s="26">
        <f t="shared" ref="E41:E43" si="3">C41*D41</f>
        <v>350</v>
      </c>
      <c r="F41" s="26"/>
      <c r="G41" s="26"/>
      <c r="H41" s="26"/>
      <c r="I41" s="26"/>
      <c r="J41" s="26"/>
      <c r="K41" s="26"/>
      <c r="L41" s="26"/>
      <c r="M41" s="26"/>
      <c r="N41" s="26"/>
      <c r="O41" s="26"/>
      <c r="P41" s="26"/>
      <c r="Q41" s="26"/>
      <c r="R41" s="189"/>
    </row>
    <row r="42" spans="2:23" x14ac:dyDescent="0.25">
      <c r="B42" s="11" t="s">
        <v>250</v>
      </c>
      <c r="C42" s="26">
        <v>139</v>
      </c>
      <c r="D42" s="26">
        <v>0.5</v>
      </c>
      <c r="E42" s="26">
        <f t="shared" si="3"/>
        <v>69.5</v>
      </c>
      <c r="F42" s="26"/>
      <c r="G42" s="26"/>
      <c r="H42" s="26"/>
      <c r="I42" s="26"/>
      <c r="J42" s="26"/>
      <c r="K42" s="26"/>
      <c r="L42" s="26"/>
      <c r="M42" s="26"/>
      <c r="N42" s="26"/>
      <c r="O42" s="26"/>
      <c r="P42" s="26"/>
      <c r="Q42" s="26"/>
      <c r="R42" s="189"/>
    </row>
    <row r="43" spans="2:23" x14ac:dyDescent="0.25">
      <c r="B43" s="11" t="s">
        <v>251</v>
      </c>
      <c r="C43" s="26">
        <v>63</v>
      </c>
      <c r="D43" s="26">
        <v>1</v>
      </c>
      <c r="E43" s="26">
        <f t="shared" si="3"/>
        <v>63</v>
      </c>
      <c r="F43" s="26"/>
      <c r="G43" s="26"/>
      <c r="H43" s="26"/>
      <c r="I43" s="26"/>
      <c r="J43" s="26"/>
      <c r="K43" s="26"/>
      <c r="L43" s="26"/>
      <c r="M43" s="26"/>
      <c r="N43" s="26"/>
      <c r="O43" s="26"/>
      <c r="P43" s="26"/>
      <c r="Q43" s="26"/>
      <c r="R43" s="189"/>
    </row>
    <row r="44" spans="2:23" ht="15.75" thickBot="1" x14ac:dyDescent="0.3">
      <c r="B44" s="348" t="s">
        <v>255</v>
      </c>
      <c r="C44" s="349"/>
      <c r="D44" s="349"/>
      <c r="E44" s="190">
        <f>SUM(E40:E43)</f>
        <v>548.5</v>
      </c>
      <c r="F44" s="190"/>
      <c r="G44" s="190"/>
      <c r="H44" s="190"/>
      <c r="I44" s="190"/>
      <c r="J44" s="190"/>
      <c r="K44" s="190"/>
      <c r="L44" s="190"/>
      <c r="M44" s="190"/>
      <c r="N44" s="190"/>
      <c r="O44" s="190"/>
      <c r="P44" s="190"/>
      <c r="Q44" s="190"/>
      <c r="R44" s="191"/>
    </row>
    <row r="45" spans="2:23" ht="15.75" thickBot="1" x14ac:dyDescent="0.3">
      <c r="B45" s="350" t="s">
        <v>256</v>
      </c>
      <c r="C45" s="350"/>
      <c r="D45" s="350"/>
      <c r="E45" s="223">
        <f>IF(E44&lt;$U$8,$V$8,IF(E44&lt;$U$9,$V$9,IF(E44&lt;$U$10,$V$10,$V$11)))</f>
        <v>2</v>
      </c>
      <c r="F45" s="223"/>
      <c r="G45" s="223">
        <f>IF(G40&lt;$U$14,$V$14,IF(G40&lt;$U$15,$V$15,IF(G40&lt;$U$16,$V$16,$V$17)))</f>
        <v>1</v>
      </c>
      <c r="H45" s="223"/>
      <c r="I45" s="223"/>
      <c r="J45" s="223">
        <f>IF(J40&lt;$U$20,$V$20,IF(J40&lt;$U$21,$V$21,IF(J40&lt;$U$22,$V$22,$V$23)))</f>
        <v>1</v>
      </c>
      <c r="K45" s="223"/>
      <c r="L45" s="223"/>
      <c r="M45" s="223">
        <f>IF(M40&lt;$U$26,$V$26,IF(M40&lt;$U$27,$V$27,IF(M40&lt;$U$28,$V$28,$V$29)))</f>
        <v>2</v>
      </c>
      <c r="N45" s="223"/>
      <c r="O45" s="223"/>
      <c r="P45" s="225">
        <f>IF(P40&lt;$U$33,$V$33,IF(P40&lt;$U$34,$V$34,IF(P40&lt;$U$35,$V$35,$V$36)))</f>
        <v>2</v>
      </c>
      <c r="Q45" s="193"/>
      <c r="R45" s="193"/>
    </row>
    <row r="46" spans="2:23" ht="16.5" thickTop="1" thickBot="1" x14ac:dyDescent="0.3">
      <c r="P46" s="26"/>
      <c r="Q46" s="26"/>
      <c r="R46" s="26"/>
    </row>
    <row r="47" spans="2:23" x14ac:dyDescent="0.25">
      <c r="B47" s="364" t="s">
        <v>293</v>
      </c>
      <c r="C47" s="365"/>
      <c r="D47" s="365"/>
      <c r="E47" s="365"/>
      <c r="F47" s="365"/>
      <c r="G47" s="365"/>
      <c r="H47" s="365"/>
      <c r="I47" s="365"/>
      <c r="J47" s="365"/>
      <c r="K47" s="365"/>
      <c r="L47" s="365"/>
      <c r="M47" s="365"/>
      <c r="N47" s="365"/>
      <c r="O47" s="365"/>
      <c r="P47" s="365"/>
      <c r="Q47" s="365"/>
      <c r="R47" s="366"/>
    </row>
    <row r="48" spans="2:23" x14ac:dyDescent="0.25">
      <c r="B48" s="11"/>
      <c r="C48" s="343" t="s">
        <v>242</v>
      </c>
      <c r="D48" s="343"/>
      <c r="E48" s="343"/>
      <c r="F48" s="343"/>
      <c r="G48" s="343" t="s">
        <v>245</v>
      </c>
      <c r="H48" s="343"/>
      <c r="I48" s="343"/>
      <c r="J48" s="343" t="s">
        <v>246</v>
      </c>
      <c r="K48" s="343"/>
      <c r="L48" s="343"/>
      <c r="M48" s="343" t="s">
        <v>244</v>
      </c>
      <c r="N48" s="343"/>
      <c r="O48" s="343"/>
      <c r="P48" s="343" t="s">
        <v>9</v>
      </c>
      <c r="Q48" s="343"/>
      <c r="R48" s="347"/>
    </row>
    <row r="49" spans="2:18" x14ac:dyDescent="0.25">
      <c r="B49" s="11"/>
      <c r="C49" s="26" t="s">
        <v>248</v>
      </c>
      <c r="D49" s="26" t="s">
        <v>253</v>
      </c>
      <c r="E49" s="26" t="s">
        <v>254</v>
      </c>
      <c r="F49" s="26"/>
      <c r="G49" s="343" t="s">
        <v>252</v>
      </c>
      <c r="H49" s="343"/>
      <c r="I49" s="343"/>
      <c r="J49" s="343" t="s">
        <v>252</v>
      </c>
      <c r="K49" s="343"/>
      <c r="L49" s="343"/>
      <c r="M49" s="343" t="s">
        <v>248</v>
      </c>
      <c r="N49" s="343"/>
      <c r="O49" s="343"/>
      <c r="P49" s="343" t="s">
        <v>288</v>
      </c>
      <c r="Q49" s="343"/>
      <c r="R49" s="347"/>
    </row>
    <row r="50" spans="2:18" x14ac:dyDescent="0.25">
      <c r="B50" s="11" t="s">
        <v>247</v>
      </c>
      <c r="C50" s="26">
        <v>39</v>
      </c>
      <c r="D50" s="26">
        <v>2</v>
      </c>
      <c r="E50" s="26">
        <f>C50*D50</f>
        <v>78</v>
      </c>
      <c r="F50" s="26"/>
      <c r="G50" s="26">
        <v>69</v>
      </c>
      <c r="H50" s="26"/>
      <c r="I50" s="26"/>
      <c r="J50" s="26">
        <v>185</v>
      </c>
      <c r="K50" s="26"/>
      <c r="L50" s="26"/>
      <c r="M50" s="26">
        <v>177</v>
      </c>
      <c r="N50" s="26"/>
      <c r="O50" s="26"/>
      <c r="P50" s="224">
        <v>1203110110.168</v>
      </c>
      <c r="Q50" s="26"/>
      <c r="R50" s="189"/>
    </row>
    <row r="51" spans="2:18" x14ac:dyDescent="0.25">
      <c r="B51" s="11" t="s">
        <v>249</v>
      </c>
      <c r="C51" s="26">
        <v>66</v>
      </c>
      <c r="D51" s="26">
        <v>5</v>
      </c>
      <c r="E51" s="26">
        <f t="shared" ref="E51:E53" si="4">C51*D51</f>
        <v>330</v>
      </c>
      <c r="F51" s="26"/>
      <c r="G51" s="26"/>
      <c r="H51" s="26"/>
      <c r="I51" s="26"/>
      <c r="J51" s="26"/>
      <c r="K51" s="26"/>
      <c r="L51" s="26"/>
      <c r="M51" s="26"/>
      <c r="N51" s="26"/>
      <c r="O51" s="26"/>
      <c r="P51" s="26"/>
      <c r="Q51" s="26"/>
      <c r="R51" s="189"/>
    </row>
    <row r="52" spans="2:18" x14ac:dyDescent="0.25">
      <c r="B52" s="11" t="s">
        <v>250</v>
      </c>
      <c r="C52" s="26">
        <v>137</v>
      </c>
      <c r="D52" s="26">
        <v>0.5</v>
      </c>
      <c r="E52" s="26">
        <f t="shared" si="4"/>
        <v>68.5</v>
      </c>
      <c r="F52" s="26"/>
      <c r="G52" s="26"/>
      <c r="H52" s="26"/>
      <c r="I52" s="26"/>
      <c r="J52" s="26"/>
      <c r="K52" s="26"/>
      <c r="L52" s="26"/>
      <c r="M52" s="26"/>
      <c r="N52" s="26"/>
      <c r="O52" s="26"/>
      <c r="P52" s="26"/>
      <c r="Q52" s="26"/>
      <c r="R52" s="189"/>
    </row>
    <row r="53" spans="2:18" x14ac:dyDescent="0.25">
      <c r="B53" s="11" t="s">
        <v>251</v>
      </c>
      <c r="C53" s="26">
        <v>68</v>
      </c>
      <c r="D53" s="26">
        <v>1</v>
      </c>
      <c r="E53" s="26">
        <f t="shared" si="4"/>
        <v>68</v>
      </c>
      <c r="F53" s="26"/>
      <c r="G53" s="26"/>
      <c r="H53" s="26"/>
      <c r="I53" s="26"/>
      <c r="J53" s="26"/>
      <c r="K53" s="26"/>
      <c r="L53" s="26"/>
      <c r="M53" s="26"/>
      <c r="N53" s="26"/>
      <c r="O53" s="26"/>
      <c r="P53" s="26"/>
      <c r="Q53" s="26"/>
      <c r="R53" s="189"/>
    </row>
    <row r="54" spans="2:18" ht="15.75" thickBot="1" x14ac:dyDescent="0.3">
      <c r="B54" s="348" t="s">
        <v>255</v>
      </c>
      <c r="C54" s="349"/>
      <c r="D54" s="349"/>
      <c r="E54" s="190">
        <f>SUM(E50:E53)</f>
        <v>544.5</v>
      </c>
      <c r="F54" s="190"/>
      <c r="G54" s="190"/>
      <c r="H54" s="190"/>
      <c r="I54" s="190"/>
      <c r="J54" s="190"/>
      <c r="K54" s="190"/>
      <c r="L54" s="190"/>
      <c r="M54" s="190"/>
      <c r="N54" s="190"/>
      <c r="O54" s="190"/>
      <c r="P54" s="190"/>
      <c r="Q54" s="190"/>
      <c r="R54" s="191"/>
    </row>
    <row r="55" spans="2:18" ht="15.75" thickBot="1" x14ac:dyDescent="0.3">
      <c r="B55" s="350" t="s">
        <v>256</v>
      </c>
      <c r="C55" s="350"/>
      <c r="D55" s="350"/>
      <c r="E55" s="223">
        <f>IF(E54&lt;$U$8,$V$8,IF(E54&lt;$U$9,$V$9,IF(E54&lt;$U$10,$V$10,$V$11)))</f>
        <v>2</v>
      </c>
      <c r="F55" s="223"/>
      <c r="G55" s="223">
        <f>IF(G50&lt;$U$14,$V$14,IF(G50&lt;$U$15,$V$15,IF(G50&lt;$U$16,$V$16,$V$17)))</f>
        <v>2</v>
      </c>
      <c r="H55" s="223"/>
      <c r="I55" s="223"/>
      <c r="J55" s="223">
        <f>IF(J50&lt;$U$20,$V$20,IF(J50&lt;$U$21,$V$21,IF(J50&lt;$U$22,$V$22,$V$23)))</f>
        <v>1</v>
      </c>
      <c r="K55" s="223"/>
      <c r="L55" s="223"/>
      <c r="M55" s="223">
        <f>IF(M50&lt;$U$26,$V$26,IF(M50&lt;$U$27,$V$27,IF(M50&lt;$U$28,$V$28,$V$29)))</f>
        <v>3</v>
      </c>
      <c r="N55" s="223"/>
      <c r="O55" s="223"/>
      <c r="P55" s="225">
        <f>IF(P50&lt;$U$33,$V$33,IF(P50&lt;$U$34,$V$34,IF(P50&lt;$U$35,$V$35,$V$36)))</f>
        <v>2</v>
      </c>
      <c r="Q55" s="193"/>
      <c r="R55" s="193"/>
    </row>
    <row r="56" spans="2:18" ht="15.75" thickTop="1" x14ac:dyDescent="0.25">
      <c r="B56" s="192"/>
      <c r="C56" s="192"/>
      <c r="D56" s="192"/>
      <c r="E56" s="26"/>
      <c r="F56" s="26"/>
      <c r="G56" s="26"/>
      <c r="H56" s="26"/>
      <c r="I56" s="26"/>
      <c r="J56" s="26"/>
      <c r="K56" s="26"/>
      <c r="L56" s="26"/>
      <c r="M56" s="26"/>
      <c r="N56" s="26"/>
      <c r="O56" s="26"/>
      <c r="P56" s="26"/>
      <c r="Q56" s="26"/>
      <c r="R56" s="26"/>
    </row>
  </sheetData>
  <mergeCells count="73">
    <mergeCell ref="P49:R49"/>
    <mergeCell ref="B7:R7"/>
    <mergeCell ref="B17:R17"/>
    <mergeCell ref="B27:R27"/>
    <mergeCell ref="B37:R37"/>
    <mergeCell ref="B47:R47"/>
    <mergeCell ref="P28:R28"/>
    <mergeCell ref="P29:R29"/>
    <mergeCell ref="P38:R38"/>
    <mergeCell ref="P39:R39"/>
    <mergeCell ref="P48:R48"/>
    <mergeCell ref="M8:O8"/>
    <mergeCell ref="M9:O9"/>
    <mergeCell ref="B15:D15"/>
    <mergeCell ref="C8:F8"/>
    <mergeCell ref="P8:R8"/>
    <mergeCell ref="P9:R9"/>
    <mergeCell ref="P18:R18"/>
    <mergeCell ref="P19:R19"/>
    <mergeCell ref="T32:V32"/>
    <mergeCell ref="C48:F48"/>
    <mergeCell ref="G48:I48"/>
    <mergeCell ref="J48:L48"/>
    <mergeCell ref="G29:I29"/>
    <mergeCell ref="J29:L29"/>
    <mergeCell ref="G39:I39"/>
    <mergeCell ref="J39:L39"/>
    <mergeCell ref="M39:O39"/>
    <mergeCell ref="B44:D44"/>
    <mergeCell ref="G28:I28"/>
    <mergeCell ref="J28:L28"/>
    <mergeCell ref="M28:O28"/>
    <mergeCell ref="M29:O29"/>
    <mergeCell ref="B34:D34"/>
    <mergeCell ref="C38:F38"/>
    <mergeCell ref="G38:I38"/>
    <mergeCell ref="J38:L38"/>
    <mergeCell ref="B5:D5"/>
    <mergeCell ref="G19:I19"/>
    <mergeCell ref="J19:L19"/>
    <mergeCell ref="M19:O19"/>
    <mergeCell ref="B24:D24"/>
    <mergeCell ref="B14:D14"/>
    <mergeCell ref="C18:F18"/>
    <mergeCell ref="G18:I18"/>
    <mergeCell ref="J18:L18"/>
    <mergeCell ref="M18:O18"/>
    <mergeCell ref="G8:I8"/>
    <mergeCell ref="G9:I9"/>
    <mergeCell ref="J8:L8"/>
    <mergeCell ref="J9:L9"/>
    <mergeCell ref="B4:D4"/>
    <mergeCell ref="B55:D55"/>
    <mergeCell ref="T13:V13"/>
    <mergeCell ref="T7:V7"/>
    <mergeCell ref="T19:V19"/>
    <mergeCell ref="T25:V25"/>
    <mergeCell ref="M49:O49"/>
    <mergeCell ref="M48:O48"/>
    <mergeCell ref="M38:O38"/>
    <mergeCell ref="B25:D25"/>
    <mergeCell ref="B35:D35"/>
    <mergeCell ref="B45:D45"/>
    <mergeCell ref="G49:I49"/>
    <mergeCell ref="J49:L49"/>
    <mergeCell ref="B54:D54"/>
    <mergeCell ref="C28:F28"/>
    <mergeCell ref="C3:F3"/>
    <mergeCell ref="G3:I3"/>
    <mergeCell ref="J3:L3"/>
    <mergeCell ref="M3:O3"/>
    <mergeCell ref="B2:R2"/>
    <mergeCell ref="P3:R3"/>
  </mergeCells>
  <pageMargins left="0.7" right="0.7" top="0.75" bottom="0.75" header="0.3" footer="0.3"/>
  <pageSetup paperSize="256"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5A3E7-E618-41CB-8A3B-8612491AFEFC}">
  <sheetPr>
    <tabColor theme="4" tint="0.79998168889431442"/>
    <pageSetUpPr fitToPage="1"/>
  </sheetPr>
  <dimension ref="B2:K23"/>
  <sheetViews>
    <sheetView workbookViewId="0"/>
  </sheetViews>
  <sheetFormatPr defaultRowHeight="15" x14ac:dyDescent="0.25"/>
  <cols>
    <col min="2" max="2" width="34.28515625" customWidth="1"/>
    <col min="3" max="3" width="70.42578125" customWidth="1"/>
    <col min="4" max="4" width="13.85546875" bestFit="1" customWidth="1"/>
    <col min="5" max="5" width="70.42578125" customWidth="1"/>
    <col min="6" max="10" width="25.7109375" customWidth="1"/>
    <col min="11" max="11" width="61" customWidth="1"/>
  </cols>
  <sheetData>
    <row r="2" spans="2:11" x14ac:dyDescent="0.25">
      <c r="F2" s="367" t="s">
        <v>205</v>
      </c>
      <c r="G2" s="367"/>
      <c r="H2" s="367"/>
      <c r="I2" s="367"/>
      <c r="J2" s="367"/>
    </row>
    <row r="3" spans="2:11" ht="42.75" x14ac:dyDescent="0.25">
      <c r="B3" s="183" t="s">
        <v>233</v>
      </c>
      <c r="C3" s="183" t="s">
        <v>232</v>
      </c>
      <c r="D3" s="183" t="s">
        <v>196</v>
      </c>
      <c r="E3" s="183" t="s">
        <v>185</v>
      </c>
      <c r="F3" s="182">
        <v>0</v>
      </c>
      <c r="G3" s="182">
        <v>1</v>
      </c>
      <c r="H3" s="182">
        <v>2</v>
      </c>
      <c r="I3" s="182">
        <v>3</v>
      </c>
      <c r="J3" s="182">
        <v>4</v>
      </c>
      <c r="K3" s="183" t="s">
        <v>206</v>
      </c>
    </row>
    <row r="4" spans="2:11" ht="89.25" customHeight="1" x14ac:dyDescent="0.25">
      <c r="B4" s="185" t="str">
        <f>+'Tech WorkshopQualitative Matrix'!B5</f>
        <v>Enhances Regional Mobility</v>
      </c>
      <c r="C4" s="184" t="s">
        <v>178</v>
      </c>
      <c r="D4" s="2" t="s">
        <v>198</v>
      </c>
      <c r="E4" s="184" t="s">
        <v>213</v>
      </c>
      <c r="F4" s="186" t="s">
        <v>236</v>
      </c>
      <c r="G4" s="186" t="s">
        <v>211</v>
      </c>
      <c r="H4" s="186" t="s">
        <v>210</v>
      </c>
      <c r="I4" s="186" t="s">
        <v>209</v>
      </c>
      <c r="J4" s="186" t="s">
        <v>208</v>
      </c>
      <c r="K4" s="184" t="s">
        <v>212</v>
      </c>
    </row>
    <row r="5" spans="2:11" ht="99.95" customHeight="1" x14ac:dyDescent="0.25">
      <c r="B5" s="185" t="str">
        <f>+'Tech WorkshopQualitative Matrix'!B6</f>
        <v xml:space="preserve">Supports Travel Demand </v>
      </c>
      <c r="C5" s="184" t="s">
        <v>227</v>
      </c>
      <c r="D5" s="2" t="s">
        <v>197</v>
      </c>
      <c r="E5" s="184" t="s">
        <v>215</v>
      </c>
      <c r="F5" s="186" t="s">
        <v>184</v>
      </c>
      <c r="G5" s="186" t="s">
        <v>219</v>
      </c>
      <c r="H5" s="186" t="s">
        <v>218</v>
      </c>
      <c r="I5" s="186" t="s">
        <v>217</v>
      </c>
      <c r="J5" s="186" t="s">
        <v>216</v>
      </c>
      <c r="K5" s="184" t="s">
        <v>214</v>
      </c>
    </row>
    <row r="6" spans="2:11" ht="99.95" customHeight="1" x14ac:dyDescent="0.25">
      <c r="B6" s="185" t="str">
        <f>+'Tech WorkshopQualitative Matrix'!B7</f>
        <v>Enhances Safety/Meets Design Standards</v>
      </c>
      <c r="C6" s="184" t="str">
        <f>+'Tech WorkshopQualitative Matrix'!V7</f>
        <v>Alignment location has the ability to increase safety with respect to: adequate control of access for existing businesses, grade separations, divided roadways with barrier, enhance regional safety by providing safer route.</v>
      </c>
      <c r="D6" s="2" t="s">
        <v>198</v>
      </c>
      <c r="E6" s="184" t="s">
        <v>224</v>
      </c>
      <c r="F6" s="188" t="s">
        <v>236</v>
      </c>
      <c r="G6" s="368" t="s">
        <v>226</v>
      </c>
      <c r="H6" s="369"/>
      <c r="I6" s="370"/>
      <c r="J6" s="186" t="s">
        <v>225</v>
      </c>
    </row>
    <row r="7" spans="2:11" ht="105" x14ac:dyDescent="0.25">
      <c r="B7" s="185" t="str">
        <f>+'Tech WorkshopQualitative Matrix'!B8</f>
        <v>Supports Future Regional Economic Growth</v>
      </c>
      <c r="C7" s="184" t="s">
        <v>179</v>
      </c>
      <c r="D7" s="2" t="s">
        <v>197</v>
      </c>
      <c r="E7" s="184" t="s">
        <v>220</v>
      </c>
      <c r="F7" s="186" t="s">
        <v>235</v>
      </c>
      <c r="G7" s="186" t="s">
        <v>234</v>
      </c>
      <c r="H7" s="186" t="s">
        <v>223</v>
      </c>
      <c r="I7" s="186" t="s">
        <v>222</v>
      </c>
      <c r="J7" s="186" t="s">
        <v>221</v>
      </c>
    </row>
    <row r="8" spans="2:11" ht="72" customHeight="1" x14ac:dyDescent="0.25">
      <c r="B8" s="185" t="str">
        <f>+'Tech WorkshopQualitative Matrix'!B9</f>
        <v xml:space="preserve">Minimizes Construction Cost </v>
      </c>
      <c r="C8" s="184" t="s">
        <v>194</v>
      </c>
      <c r="D8" s="2" t="s">
        <v>198</v>
      </c>
      <c r="E8" s="184" t="s">
        <v>228</v>
      </c>
      <c r="F8" s="186" t="s">
        <v>237</v>
      </c>
      <c r="G8" s="186" t="s">
        <v>193</v>
      </c>
      <c r="H8" s="186" t="s">
        <v>201</v>
      </c>
      <c r="I8" s="186" t="s">
        <v>192</v>
      </c>
      <c r="J8" s="186" t="s">
        <v>191</v>
      </c>
      <c r="K8" s="187" t="s">
        <v>207</v>
      </c>
    </row>
    <row r="9" spans="2:11" ht="72" customHeight="1" x14ac:dyDescent="0.25">
      <c r="B9" s="185" t="str">
        <f>+'Tech WorkshopQualitative Matrix'!B10</f>
        <v>Minimizes Current Residential Impacts</v>
      </c>
      <c r="C9" s="184" t="s">
        <v>180</v>
      </c>
      <c r="D9" s="2" t="s">
        <v>198</v>
      </c>
      <c r="E9" s="184" t="s">
        <v>229</v>
      </c>
      <c r="F9" s="186" t="s">
        <v>200</v>
      </c>
      <c r="G9" s="186"/>
      <c r="H9" s="186" t="s">
        <v>201</v>
      </c>
      <c r="I9" s="186"/>
      <c r="J9" s="186" t="s">
        <v>199</v>
      </c>
      <c r="K9" s="187" t="s">
        <v>207</v>
      </c>
    </row>
    <row r="10" spans="2:11" ht="72" customHeight="1" x14ac:dyDescent="0.25">
      <c r="B10" s="185" t="str">
        <f>+'Tech WorkshopQualitative Matrix'!B11</f>
        <v>Minimizes Environmental and Park Land Impacts</v>
      </c>
      <c r="C10" s="184" t="s">
        <v>181</v>
      </c>
      <c r="D10" s="2" t="s">
        <v>198</v>
      </c>
      <c r="E10" s="184" t="s">
        <v>230</v>
      </c>
      <c r="F10" s="186" t="s">
        <v>202</v>
      </c>
      <c r="G10" s="186"/>
      <c r="H10" s="186" t="s">
        <v>203</v>
      </c>
      <c r="I10" s="186"/>
      <c r="J10" s="186" t="s">
        <v>199</v>
      </c>
      <c r="K10" s="187" t="s">
        <v>207</v>
      </c>
    </row>
    <row r="11" spans="2:11" ht="72" customHeight="1" x14ac:dyDescent="0.25">
      <c r="B11" s="185" t="str">
        <f>+'Tech WorkshopQualitative Matrix'!B12</f>
        <v>Minimizes Current Business Impacts</v>
      </c>
      <c r="C11" s="184" t="s">
        <v>238</v>
      </c>
      <c r="D11" s="2" t="s">
        <v>198</v>
      </c>
      <c r="E11" s="184" t="s">
        <v>239</v>
      </c>
      <c r="F11" s="186" t="s">
        <v>200</v>
      </c>
      <c r="G11" s="186"/>
      <c r="H11" s="186" t="s">
        <v>201</v>
      </c>
      <c r="I11" s="186"/>
      <c r="J11" s="186" t="s">
        <v>199</v>
      </c>
      <c r="K11" s="187" t="s">
        <v>207</v>
      </c>
    </row>
    <row r="12" spans="2:11" ht="72" customHeight="1" x14ac:dyDescent="0.25">
      <c r="B12" s="185" t="str">
        <f>+'Tech WorkshopQualitative Matrix'!B14</f>
        <v>Stakeholder and Public Support</v>
      </c>
      <c r="C12" s="184" t="s">
        <v>183</v>
      </c>
      <c r="D12" s="2" t="s">
        <v>197</v>
      </c>
      <c r="E12" s="184" t="s">
        <v>195</v>
      </c>
      <c r="F12" s="186" t="s">
        <v>186</v>
      </c>
      <c r="G12" s="186" t="s">
        <v>187</v>
      </c>
      <c r="H12" s="186" t="s">
        <v>188</v>
      </c>
      <c r="I12" s="186" t="s">
        <v>189</v>
      </c>
      <c r="J12" s="186" t="s">
        <v>190</v>
      </c>
    </row>
    <row r="13" spans="2:11" ht="15" customHeight="1" x14ac:dyDescent="0.25"/>
    <row r="14" spans="2:11" ht="15" customHeight="1" x14ac:dyDescent="0.25"/>
    <row r="15" spans="2:11" ht="15" customHeight="1" x14ac:dyDescent="0.25"/>
    <row r="16" spans="2:11" ht="15" customHeight="1" x14ac:dyDescent="0.25"/>
    <row r="17" spans="2:10" ht="15" customHeight="1" x14ac:dyDescent="0.25"/>
    <row r="23" spans="2:10" ht="72" customHeight="1" x14ac:dyDescent="0.25">
      <c r="B23" s="185" t="s">
        <v>231</v>
      </c>
      <c r="C23" s="184" t="s">
        <v>182</v>
      </c>
      <c r="D23" s="2" t="s">
        <v>197</v>
      </c>
      <c r="E23" s="184" t="s">
        <v>204</v>
      </c>
      <c r="F23" s="186" t="s">
        <v>186</v>
      </c>
      <c r="G23" s="186" t="s">
        <v>187</v>
      </c>
      <c r="H23" s="186" t="s">
        <v>188</v>
      </c>
      <c r="I23" s="186" t="s">
        <v>189</v>
      </c>
      <c r="J23" s="186" t="s">
        <v>190</v>
      </c>
    </row>
  </sheetData>
  <mergeCells count="2">
    <mergeCell ref="F2:J2"/>
    <mergeCell ref="G6:I6"/>
  </mergeCells>
  <pageMargins left="0.25" right="0.25" top="0.75" bottom="0.75" header="0.3" footer="0.3"/>
  <pageSetup paperSize="17" scale="5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61"/>
  <sheetViews>
    <sheetView topLeftCell="B8" workbookViewId="0"/>
  </sheetViews>
  <sheetFormatPr defaultColWidth="9.140625" defaultRowHeight="15" x14ac:dyDescent="0.25"/>
  <cols>
    <col min="1" max="1" width="44.85546875" style="107" hidden="1" customWidth="1"/>
    <col min="2" max="2" width="69.140625" style="108" customWidth="1"/>
    <col min="3" max="3" width="17.28515625" style="108" customWidth="1"/>
    <col min="4" max="20" width="25.7109375" style="107" customWidth="1"/>
    <col min="21" max="21" width="15.28515625" style="107" customWidth="1"/>
    <col min="22" max="22" width="147.140625" style="107" customWidth="1"/>
    <col min="23" max="76" width="9.140625" style="107" customWidth="1"/>
    <col min="77" max="16384" width="9.140625" style="107"/>
  </cols>
  <sheetData>
    <row r="1" spans="1:24" ht="46.5" hidden="1" x14ac:dyDescent="0.7">
      <c r="B1" s="371" t="s">
        <v>96</v>
      </c>
      <c r="C1" s="371"/>
      <c r="D1" s="371"/>
      <c r="E1" s="371"/>
      <c r="F1" s="371"/>
      <c r="G1" s="371"/>
      <c r="H1" s="371"/>
      <c r="I1" s="371"/>
      <c r="J1" s="371"/>
      <c r="K1" s="371"/>
      <c r="L1" s="371"/>
      <c r="M1" s="371"/>
      <c r="N1" s="371"/>
      <c r="O1" s="371"/>
      <c r="P1" s="371"/>
      <c r="Q1" s="371"/>
      <c r="R1" s="371"/>
      <c r="S1" s="371"/>
      <c r="T1" s="371"/>
    </row>
    <row r="2" spans="1:24" s="108" customFormat="1" ht="17.25" customHeight="1" thickBot="1" x14ac:dyDescent="0.3">
      <c r="B2" s="109" t="s">
        <v>96</v>
      </c>
      <c r="C2" s="109"/>
    </row>
    <row r="3" spans="1:24" s="108" customFormat="1" ht="84.75" thickBot="1" x14ac:dyDescent="0.4">
      <c r="A3" s="110"/>
      <c r="B3" s="111"/>
      <c r="C3" s="112"/>
      <c r="D3" s="113" t="s">
        <v>90</v>
      </c>
      <c r="E3" s="114" t="s">
        <v>102</v>
      </c>
      <c r="F3" s="115" t="s">
        <v>81</v>
      </c>
      <c r="G3" s="113" t="s">
        <v>82</v>
      </c>
      <c r="H3" s="113" t="s">
        <v>78</v>
      </c>
      <c r="I3" s="113" t="s">
        <v>87</v>
      </c>
      <c r="J3" s="113" t="s">
        <v>79</v>
      </c>
      <c r="K3" s="113" t="s">
        <v>86</v>
      </c>
      <c r="L3" s="113" t="s">
        <v>172</v>
      </c>
      <c r="M3" s="116"/>
      <c r="N3" s="113" t="s">
        <v>174</v>
      </c>
      <c r="O3" s="113" t="s">
        <v>85</v>
      </c>
      <c r="P3" s="113" t="s">
        <v>175</v>
      </c>
      <c r="Q3" s="117" t="s">
        <v>175</v>
      </c>
      <c r="R3" s="113" t="s">
        <v>176</v>
      </c>
      <c r="S3" s="113" t="s">
        <v>84</v>
      </c>
      <c r="T3" s="113" t="s">
        <v>80</v>
      </c>
      <c r="U3" s="118" t="s">
        <v>83</v>
      </c>
      <c r="V3" s="119"/>
    </row>
    <row r="4" spans="1:24" s="108" customFormat="1" ht="82.5" customHeight="1" thickBot="1" x14ac:dyDescent="0.5">
      <c r="A4" s="120" t="s">
        <v>128</v>
      </c>
      <c r="B4" s="121" t="s">
        <v>0</v>
      </c>
      <c r="C4" s="121" t="s">
        <v>166</v>
      </c>
      <c r="D4" s="122"/>
      <c r="E4" s="123"/>
      <c r="F4" s="121" t="s">
        <v>167</v>
      </c>
      <c r="G4" s="123"/>
      <c r="H4" s="121" t="s">
        <v>168</v>
      </c>
      <c r="I4" s="123"/>
      <c r="J4" s="121" t="s">
        <v>169</v>
      </c>
      <c r="K4" s="123"/>
      <c r="L4" s="121" t="s">
        <v>92</v>
      </c>
      <c r="M4" s="123"/>
      <c r="N4" s="121" t="s">
        <v>173</v>
      </c>
      <c r="O4" s="123"/>
      <c r="P4" s="121" t="s">
        <v>93</v>
      </c>
      <c r="Q4" s="123"/>
      <c r="R4" s="121" t="s">
        <v>177</v>
      </c>
      <c r="S4" s="123"/>
      <c r="T4" s="121" t="s">
        <v>94</v>
      </c>
      <c r="U4" s="124"/>
      <c r="V4" s="125" t="s">
        <v>110</v>
      </c>
    </row>
    <row r="5" spans="1:24" s="135" customFormat="1" ht="45" customHeight="1" x14ac:dyDescent="0.25">
      <c r="A5" s="126" t="s">
        <v>130</v>
      </c>
      <c r="B5" s="113" t="s">
        <v>76</v>
      </c>
      <c r="C5" s="127">
        <v>0.1111</v>
      </c>
      <c r="D5" s="128">
        <v>0</v>
      </c>
      <c r="E5" s="129" t="s">
        <v>105</v>
      </c>
      <c r="F5" s="128">
        <v>3</v>
      </c>
      <c r="G5" s="130" t="s">
        <v>140</v>
      </c>
      <c r="H5" s="131">
        <v>3</v>
      </c>
      <c r="I5" s="130" t="s">
        <v>143</v>
      </c>
      <c r="J5" s="131">
        <v>4</v>
      </c>
      <c r="K5" s="130" t="s">
        <v>141</v>
      </c>
      <c r="L5" s="131">
        <v>2</v>
      </c>
      <c r="M5" s="130" t="s">
        <v>139</v>
      </c>
      <c r="N5" s="131">
        <v>3</v>
      </c>
      <c r="O5" s="130" t="s">
        <v>138</v>
      </c>
      <c r="P5" s="131">
        <v>2</v>
      </c>
      <c r="Q5" s="130" t="s">
        <v>139</v>
      </c>
      <c r="R5" s="131">
        <v>3</v>
      </c>
      <c r="S5" s="130" t="s">
        <v>138</v>
      </c>
      <c r="T5" s="131">
        <v>1</v>
      </c>
      <c r="U5" s="132" t="s">
        <v>145</v>
      </c>
      <c r="V5" s="133" t="s">
        <v>129</v>
      </c>
      <c r="W5" s="134" t="s">
        <v>126</v>
      </c>
    </row>
    <row r="6" spans="1:24" s="135" customFormat="1" ht="45" customHeight="1" x14ac:dyDescent="0.25">
      <c r="A6" s="126" t="s">
        <v>130</v>
      </c>
      <c r="B6" s="113" t="s">
        <v>170</v>
      </c>
      <c r="C6" s="127">
        <v>0.1111</v>
      </c>
      <c r="D6" s="128">
        <v>0</v>
      </c>
      <c r="E6" s="129" t="s">
        <v>106</v>
      </c>
      <c r="F6" s="128">
        <v>4</v>
      </c>
      <c r="G6" s="129" t="s">
        <v>137</v>
      </c>
      <c r="H6" s="128">
        <v>2</v>
      </c>
      <c r="I6" s="129" t="s">
        <v>144</v>
      </c>
      <c r="J6" s="128">
        <v>3</v>
      </c>
      <c r="K6" s="129"/>
      <c r="L6" s="128">
        <v>2</v>
      </c>
      <c r="M6" s="129" t="s">
        <v>147</v>
      </c>
      <c r="N6" s="128">
        <v>2</v>
      </c>
      <c r="O6" s="129" t="s">
        <v>147</v>
      </c>
      <c r="P6" s="128">
        <v>4</v>
      </c>
      <c r="Q6" s="129" t="s">
        <v>148</v>
      </c>
      <c r="R6" s="128">
        <v>4</v>
      </c>
      <c r="S6" s="129" t="s">
        <v>148</v>
      </c>
      <c r="T6" s="128">
        <v>3</v>
      </c>
      <c r="U6" s="136" t="s">
        <v>146</v>
      </c>
      <c r="V6" s="133" t="s">
        <v>127</v>
      </c>
      <c r="W6" s="137"/>
      <c r="X6" s="135" t="s">
        <v>125</v>
      </c>
    </row>
    <row r="7" spans="1:24" s="135" customFormat="1" ht="45" customHeight="1" x14ac:dyDescent="0.25">
      <c r="A7" s="126" t="s">
        <v>130</v>
      </c>
      <c r="B7" s="113" t="s">
        <v>171</v>
      </c>
      <c r="C7" s="127">
        <v>0.1111</v>
      </c>
      <c r="D7" s="128">
        <v>0</v>
      </c>
      <c r="E7" s="129" t="s">
        <v>107</v>
      </c>
      <c r="F7" s="128">
        <v>3</v>
      </c>
      <c r="G7" s="129" t="s">
        <v>136</v>
      </c>
      <c r="H7" s="128">
        <v>3</v>
      </c>
      <c r="I7" s="129" t="s">
        <v>136</v>
      </c>
      <c r="J7" s="128">
        <v>4</v>
      </c>
      <c r="K7" s="138" t="s">
        <v>149</v>
      </c>
      <c r="L7" s="128">
        <v>4</v>
      </c>
      <c r="M7" s="138" t="s">
        <v>149</v>
      </c>
      <c r="N7" s="128">
        <v>4</v>
      </c>
      <c r="O7" s="138" t="s">
        <v>149</v>
      </c>
      <c r="P7" s="128">
        <v>4</v>
      </c>
      <c r="Q7" s="138" t="s">
        <v>149</v>
      </c>
      <c r="R7" s="128">
        <v>4</v>
      </c>
      <c r="S7" s="138" t="s">
        <v>149</v>
      </c>
      <c r="T7" s="128">
        <v>4</v>
      </c>
      <c r="U7" s="139" t="s">
        <v>149</v>
      </c>
      <c r="V7" s="133" t="s">
        <v>121</v>
      </c>
      <c r="W7" s="108"/>
      <c r="X7" s="108"/>
    </row>
    <row r="8" spans="1:24" s="135" customFormat="1" ht="45" customHeight="1" x14ac:dyDescent="0.25">
      <c r="A8" s="126" t="s">
        <v>132</v>
      </c>
      <c r="B8" s="113" t="s">
        <v>120</v>
      </c>
      <c r="C8" s="127">
        <v>0.1111</v>
      </c>
      <c r="D8" s="140">
        <v>0</v>
      </c>
      <c r="E8" s="141" t="s">
        <v>105</v>
      </c>
      <c r="F8" s="140">
        <v>4</v>
      </c>
      <c r="G8" s="141" t="s">
        <v>135</v>
      </c>
      <c r="H8" s="142">
        <v>3</v>
      </c>
      <c r="I8" s="143" t="s">
        <v>154</v>
      </c>
      <c r="J8" s="142">
        <v>2</v>
      </c>
      <c r="K8" s="143" t="s">
        <v>153</v>
      </c>
      <c r="L8" s="142">
        <v>3</v>
      </c>
      <c r="M8" s="143" t="s">
        <v>152</v>
      </c>
      <c r="N8" s="142">
        <v>3</v>
      </c>
      <c r="O8" s="143" t="s">
        <v>152</v>
      </c>
      <c r="P8" s="142">
        <v>4</v>
      </c>
      <c r="Q8" s="143" t="s">
        <v>151</v>
      </c>
      <c r="R8" s="142">
        <v>4</v>
      </c>
      <c r="S8" s="143" t="s">
        <v>151</v>
      </c>
      <c r="T8" s="142">
        <v>2</v>
      </c>
      <c r="U8" s="139" t="s">
        <v>150</v>
      </c>
      <c r="V8" s="144" t="s">
        <v>124</v>
      </c>
      <c r="W8" s="108"/>
      <c r="X8" s="108"/>
    </row>
    <row r="9" spans="1:24" s="135" customFormat="1" ht="45" customHeight="1" x14ac:dyDescent="0.25">
      <c r="A9" s="126" t="s">
        <v>132</v>
      </c>
      <c r="B9" s="113" t="s">
        <v>165</v>
      </c>
      <c r="C9" s="127">
        <v>0.1111</v>
      </c>
      <c r="D9" s="140">
        <v>4</v>
      </c>
      <c r="E9" s="141" t="s">
        <v>108</v>
      </c>
      <c r="F9" s="140">
        <v>3</v>
      </c>
      <c r="G9" s="141" t="s">
        <v>111</v>
      </c>
      <c r="H9" s="140">
        <v>3</v>
      </c>
      <c r="I9" s="141" t="s">
        <v>112</v>
      </c>
      <c r="J9" s="140">
        <v>3</v>
      </c>
      <c r="K9" s="141" t="s">
        <v>113</v>
      </c>
      <c r="L9" s="140">
        <v>2</v>
      </c>
      <c r="M9" s="141" t="s">
        <v>114</v>
      </c>
      <c r="N9" s="140">
        <v>1</v>
      </c>
      <c r="O9" s="141" t="s">
        <v>115</v>
      </c>
      <c r="P9" s="140">
        <v>2</v>
      </c>
      <c r="Q9" s="141" t="s">
        <v>116</v>
      </c>
      <c r="R9" s="140">
        <v>1</v>
      </c>
      <c r="S9" s="141" t="s">
        <v>117</v>
      </c>
      <c r="T9" s="140">
        <v>2</v>
      </c>
      <c r="U9" s="139" t="s">
        <v>118</v>
      </c>
      <c r="V9" s="145" t="s">
        <v>134</v>
      </c>
      <c r="W9" s="108"/>
      <c r="X9" s="108"/>
    </row>
    <row r="10" spans="1:24" s="135" customFormat="1" ht="45" customHeight="1" x14ac:dyDescent="0.25">
      <c r="A10" s="126" t="s">
        <v>132</v>
      </c>
      <c r="B10" s="113" t="s">
        <v>240</v>
      </c>
      <c r="C10" s="127">
        <v>0.1111</v>
      </c>
      <c r="D10" s="140">
        <v>4</v>
      </c>
      <c r="E10" s="141" t="s">
        <v>109</v>
      </c>
      <c r="F10" s="140">
        <v>1</v>
      </c>
      <c r="G10" s="141" t="s">
        <v>155</v>
      </c>
      <c r="H10" s="140">
        <v>1</v>
      </c>
      <c r="I10" s="141" t="s">
        <v>155</v>
      </c>
      <c r="J10" s="140">
        <v>3</v>
      </c>
      <c r="K10" s="141" t="s">
        <v>156</v>
      </c>
      <c r="L10" s="140">
        <v>3</v>
      </c>
      <c r="M10" s="141" t="s">
        <v>156</v>
      </c>
      <c r="N10" s="140">
        <v>3</v>
      </c>
      <c r="O10" s="141" t="s">
        <v>156</v>
      </c>
      <c r="P10" s="140">
        <v>3</v>
      </c>
      <c r="Q10" s="141" t="s">
        <v>156</v>
      </c>
      <c r="R10" s="140">
        <v>3</v>
      </c>
      <c r="S10" s="141" t="s">
        <v>156</v>
      </c>
      <c r="T10" s="140">
        <v>3</v>
      </c>
      <c r="U10" s="146" t="s">
        <v>156</v>
      </c>
      <c r="V10" s="147" t="s">
        <v>157</v>
      </c>
      <c r="W10" s="108"/>
      <c r="X10" s="108"/>
    </row>
    <row r="11" spans="1:24" s="135" customFormat="1" ht="45" customHeight="1" x14ac:dyDescent="0.25">
      <c r="A11" s="126" t="s">
        <v>132</v>
      </c>
      <c r="B11" s="113" t="s">
        <v>131</v>
      </c>
      <c r="C11" s="127">
        <v>0.1111</v>
      </c>
      <c r="D11" s="140">
        <v>4</v>
      </c>
      <c r="E11" s="141" t="s">
        <v>159</v>
      </c>
      <c r="F11" s="140">
        <v>3</v>
      </c>
      <c r="G11" s="141" t="s">
        <v>158</v>
      </c>
      <c r="H11" s="140">
        <v>2</v>
      </c>
      <c r="I11" s="141" t="s">
        <v>160</v>
      </c>
      <c r="J11" s="140">
        <v>0</v>
      </c>
      <c r="K11" s="148" t="s">
        <v>142</v>
      </c>
      <c r="L11" s="140">
        <v>3</v>
      </c>
      <c r="M11" s="141" t="s">
        <v>158</v>
      </c>
      <c r="N11" s="140">
        <v>2</v>
      </c>
      <c r="O11" s="141" t="s">
        <v>160</v>
      </c>
      <c r="P11" s="140">
        <v>3</v>
      </c>
      <c r="Q11" s="141" t="s">
        <v>158</v>
      </c>
      <c r="R11" s="140">
        <v>2</v>
      </c>
      <c r="S11" s="141" t="s">
        <v>160</v>
      </c>
      <c r="T11" s="140">
        <v>3</v>
      </c>
      <c r="U11" s="146" t="s">
        <v>158</v>
      </c>
      <c r="V11" s="145" t="s">
        <v>122</v>
      </c>
      <c r="W11" s="108"/>
      <c r="X11" s="108"/>
    </row>
    <row r="12" spans="1:24" s="135" customFormat="1" ht="45" customHeight="1" x14ac:dyDescent="0.25">
      <c r="A12" s="126" t="s">
        <v>132</v>
      </c>
      <c r="B12" s="113" t="s">
        <v>241</v>
      </c>
      <c r="C12" s="127">
        <v>0.1111</v>
      </c>
      <c r="D12" s="140">
        <v>1</v>
      </c>
      <c r="E12" s="141" t="s">
        <v>100</v>
      </c>
      <c r="F12" s="140">
        <v>2</v>
      </c>
      <c r="G12" s="141" t="s">
        <v>161</v>
      </c>
      <c r="H12" s="140">
        <v>2</v>
      </c>
      <c r="I12" s="141" t="s">
        <v>161</v>
      </c>
      <c r="J12" s="140">
        <v>3</v>
      </c>
      <c r="K12" s="141" t="s">
        <v>101</v>
      </c>
      <c r="L12" s="140">
        <v>2</v>
      </c>
      <c r="M12" s="141" t="s">
        <v>162</v>
      </c>
      <c r="N12" s="140">
        <v>2</v>
      </c>
      <c r="O12" s="141" t="s">
        <v>162</v>
      </c>
      <c r="P12" s="140">
        <v>3</v>
      </c>
      <c r="Q12" s="141" t="s">
        <v>101</v>
      </c>
      <c r="R12" s="140">
        <v>3</v>
      </c>
      <c r="S12" s="141" t="s">
        <v>101</v>
      </c>
      <c r="T12" s="140">
        <v>3</v>
      </c>
      <c r="U12" s="146" t="s">
        <v>101</v>
      </c>
      <c r="V12" s="149" t="s">
        <v>123</v>
      </c>
      <c r="W12" s="108"/>
      <c r="X12" s="108"/>
    </row>
    <row r="13" spans="1:24" s="135" customFormat="1" ht="45" customHeight="1" x14ac:dyDescent="0.25">
      <c r="A13" s="196"/>
      <c r="B13" s="115" t="s">
        <v>259</v>
      </c>
      <c r="C13" s="127"/>
      <c r="D13" s="153">
        <v>4</v>
      </c>
      <c r="E13" s="141" t="s">
        <v>262</v>
      </c>
      <c r="F13" s="153"/>
      <c r="G13" s="154"/>
      <c r="H13" s="153"/>
      <c r="I13" s="154"/>
      <c r="J13" s="153"/>
      <c r="K13" s="154"/>
      <c r="L13" s="153"/>
      <c r="M13" s="154"/>
      <c r="N13" s="153"/>
      <c r="O13" s="154"/>
      <c r="P13" s="153"/>
      <c r="Q13" s="154"/>
      <c r="R13" s="153"/>
      <c r="S13" s="154"/>
      <c r="T13" s="153"/>
      <c r="U13" s="197"/>
      <c r="V13" s="149"/>
      <c r="W13" s="108"/>
      <c r="X13" s="108"/>
    </row>
    <row r="14" spans="1:24" s="135" customFormat="1" ht="45" customHeight="1" thickBot="1" x14ac:dyDescent="0.3">
      <c r="A14" s="150" t="s">
        <v>133</v>
      </c>
      <c r="B14" s="115" t="s">
        <v>119</v>
      </c>
      <c r="C14" s="127">
        <v>0.1111</v>
      </c>
      <c r="D14" s="151" t="s">
        <v>164</v>
      </c>
      <c r="E14" s="152"/>
      <c r="F14" s="151" t="s">
        <v>164</v>
      </c>
      <c r="G14" s="152"/>
      <c r="H14" s="151" t="s">
        <v>164</v>
      </c>
      <c r="I14" s="152"/>
      <c r="J14" s="153" t="s">
        <v>164</v>
      </c>
      <c r="K14" s="154"/>
      <c r="L14" s="153" t="s">
        <v>164</v>
      </c>
      <c r="M14" s="154"/>
      <c r="N14" s="153" t="s">
        <v>164</v>
      </c>
      <c r="O14" s="154"/>
      <c r="P14" s="153" t="s">
        <v>164</v>
      </c>
      <c r="Q14" s="154"/>
      <c r="R14" s="153" t="s">
        <v>164</v>
      </c>
      <c r="S14" s="154"/>
      <c r="T14" s="155" t="s">
        <v>164</v>
      </c>
      <c r="U14" s="139"/>
      <c r="V14" s="156"/>
    </row>
    <row r="15" spans="1:24" s="135" customFormat="1" ht="45" customHeight="1" thickBot="1" x14ac:dyDescent="0.3">
      <c r="A15" s="157"/>
      <c r="B15" s="158" t="s">
        <v>22</v>
      </c>
      <c r="C15" s="159">
        <f>SUM(C5:C14)</f>
        <v>0.9998999999999999</v>
      </c>
      <c r="D15" s="160">
        <f>ROUND($C$5*D5+D6*$C$6+$C$7*D7+D8*$C$8+$C$9*D9+D10*$C$10+$C$11*D11+D12*$C$12,1)</f>
        <v>1.4</v>
      </c>
      <c r="E15" s="160"/>
      <c r="F15" s="160">
        <f>ROUND($C$5*F5+F6*$C$6+$C$7*F7+F8*$C$8+$C$9*F9+F10*$C$10+$C$11*F11+F12*$C$12,1)</f>
        <v>2.6</v>
      </c>
      <c r="G15" s="161"/>
      <c r="H15" s="160">
        <f>ROUND($C$5*H5+H6*$C$6+$C$7*H7+H8*$C$8+$C$9*H9+H10*$C$10+$C$11*H11+H12*$C$12,1)</f>
        <v>2.1</v>
      </c>
      <c r="I15" s="160" t="e">
        <f>AVERAGE(I5:I14)</f>
        <v>#DIV/0!</v>
      </c>
      <c r="J15" s="160">
        <f>ROUND($C$5*J5+J6*$C$6+$C$7*J7+J8*$C$8+$C$9*J9+J10*$C$10+$C$11*J11+J12*$C$12,1)</f>
        <v>2.4</v>
      </c>
      <c r="K15" s="160" t="e">
        <f>AVERAGE(K5:K14)</f>
        <v>#DIV/0!</v>
      </c>
      <c r="L15" s="160">
        <f>ROUND($C$5*L5+L6*$C$6+$C$7*L7+L8*$C$8+$C$9*L9+L10*$C$10+$C$11*L11+L12*$C$12,1)</f>
        <v>2.2999999999999998</v>
      </c>
      <c r="M15" s="160" t="e">
        <f>AVERAGE(M5:M14)</f>
        <v>#DIV/0!</v>
      </c>
      <c r="N15" s="160">
        <f>ROUND($C$5*N5+N6*$C$6+$C$7*N7+N8*$C$8+$C$9*N9+N10*$C$10+$C$11*N11+N12*$C$12,1)</f>
        <v>2.2000000000000002</v>
      </c>
      <c r="O15" s="160" t="e">
        <f>AVERAGE(O5:O14)</f>
        <v>#DIV/0!</v>
      </c>
      <c r="P15" s="160">
        <f>ROUND($C$5*P5+P6*$C$6+$C$7*P7+P8*$C$8+$C$9*P9+P10*$C$10+$C$11*P11+P12*$C$12,1)</f>
        <v>2.8</v>
      </c>
      <c r="Q15" s="160" t="e">
        <f>AVERAGE(Q5:Q14)</f>
        <v>#DIV/0!</v>
      </c>
      <c r="R15" s="160">
        <f>ROUND($C$5*R5+R6*$C$6+$C$7*R7+R8*$C$8+$C$9*R9+R10*$C$10+$C$11*R11+R12*$C$12,1)</f>
        <v>2.7</v>
      </c>
      <c r="S15" s="160" t="e">
        <f>AVERAGE(S5:S14)</f>
        <v>#DIV/0!</v>
      </c>
      <c r="T15" s="162">
        <f>ROUND($C$5*T5+T6*$C$6+$C$7*T7+T8*$C$8+$C$9*T9+T10*$C$10+$C$11*T11+T12*$C$12,1)</f>
        <v>2.2999999999999998</v>
      </c>
      <c r="U15" s="163"/>
      <c r="V15" s="164"/>
    </row>
    <row r="16" spans="1:24" ht="34.5" customHeight="1" thickBot="1" x14ac:dyDescent="0.3">
      <c r="D16" s="108"/>
      <c r="E16" s="108"/>
      <c r="F16" s="108"/>
      <c r="G16" s="108"/>
      <c r="H16" s="108"/>
      <c r="I16" s="108"/>
      <c r="J16" s="108"/>
      <c r="K16" s="108"/>
      <c r="L16" s="108"/>
      <c r="M16" s="108"/>
      <c r="N16" s="108"/>
      <c r="O16" s="108"/>
      <c r="P16" s="108"/>
      <c r="Q16" s="108"/>
      <c r="R16" s="108"/>
      <c r="S16" s="108"/>
      <c r="T16" s="108"/>
      <c r="U16" s="165"/>
    </row>
    <row r="17" spans="2:21" ht="42" customHeight="1" x14ac:dyDescent="0.25">
      <c r="D17" s="372" t="s">
        <v>95</v>
      </c>
      <c r="E17" s="373"/>
      <c r="F17" s="373"/>
      <c r="G17" s="373"/>
      <c r="H17" s="373"/>
      <c r="I17" s="373"/>
      <c r="J17" s="373"/>
      <c r="K17" s="373"/>
      <c r="L17" s="374"/>
      <c r="M17" s="108"/>
      <c r="N17" s="108"/>
      <c r="O17" s="108"/>
      <c r="P17" s="377" t="s">
        <v>163</v>
      </c>
      <c r="Q17" s="378"/>
      <c r="R17" s="379"/>
      <c r="S17" s="166"/>
      <c r="T17" s="166"/>
      <c r="U17" s="165"/>
    </row>
    <row r="18" spans="2:21" s="173" customFormat="1" ht="45" customHeight="1" x14ac:dyDescent="0.25">
      <c r="B18" s="108"/>
      <c r="C18" s="108"/>
      <c r="D18" s="167" t="s">
        <v>89</v>
      </c>
      <c r="E18" s="168"/>
      <c r="F18" s="168"/>
      <c r="G18" s="169"/>
      <c r="H18" s="169" t="s">
        <v>91</v>
      </c>
      <c r="I18" s="168"/>
      <c r="J18" s="168"/>
      <c r="K18" s="170"/>
      <c r="L18" s="169" t="s">
        <v>98</v>
      </c>
      <c r="M18" s="108"/>
      <c r="N18" s="108"/>
      <c r="O18" s="108"/>
      <c r="P18" s="167" t="s">
        <v>130</v>
      </c>
      <c r="Q18" s="168"/>
      <c r="R18" s="171" t="s">
        <v>132</v>
      </c>
      <c r="S18" s="166"/>
      <c r="T18" s="166"/>
      <c r="U18" s="172"/>
    </row>
    <row r="19" spans="2:21" ht="45" customHeight="1" thickBot="1" x14ac:dyDescent="0.3">
      <c r="D19" s="174">
        <v>0</v>
      </c>
      <c r="E19" s="175"/>
      <c r="F19" s="175">
        <v>1</v>
      </c>
      <c r="G19" s="175"/>
      <c r="H19" s="175">
        <v>2</v>
      </c>
      <c r="I19" s="175"/>
      <c r="J19" s="175">
        <v>3</v>
      </c>
      <c r="K19" s="176"/>
      <c r="L19" s="175">
        <v>4</v>
      </c>
      <c r="M19" s="108"/>
      <c r="N19" s="108"/>
      <c r="O19" s="108"/>
      <c r="P19" s="174">
        <v>4</v>
      </c>
      <c r="Q19" s="177"/>
      <c r="R19" s="178">
        <v>4</v>
      </c>
      <c r="S19" s="166"/>
      <c r="T19" s="166"/>
      <c r="U19" s="165"/>
    </row>
    <row r="20" spans="2:21" x14ac:dyDescent="0.25">
      <c r="D20" s="166"/>
      <c r="E20" s="166"/>
      <c r="F20" s="166"/>
      <c r="G20" s="166"/>
      <c r="H20" s="166"/>
      <c r="I20" s="166"/>
      <c r="J20" s="166"/>
      <c r="K20" s="166"/>
      <c r="L20" s="166"/>
      <c r="M20" s="166"/>
      <c r="N20" s="166"/>
      <c r="O20" s="166"/>
      <c r="P20" s="166"/>
      <c r="Q20" s="166"/>
      <c r="R20" s="166"/>
      <c r="S20" s="166"/>
      <c r="T20" s="166"/>
      <c r="U20" s="165"/>
    </row>
    <row r="21" spans="2:21" x14ac:dyDescent="0.25">
      <c r="D21" s="108"/>
      <c r="E21" s="108"/>
      <c r="F21" s="108"/>
      <c r="G21" s="108"/>
      <c r="H21" s="108"/>
      <c r="I21" s="108"/>
      <c r="J21" s="108"/>
      <c r="K21" s="108"/>
      <c r="L21" s="108"/>
      <c r="M21" s="108"/>
      <c r="N21" s="108"/>
      <c r="O21" s="108"/>
      <c r="P21" s="108"/>
      <c r="Q21" s="108"/>
      <c r="R21" s="108"/>
      <c r="S21" s="108"/>
      <c r="T21" s="108"/>
      <c r="U21" s="165"/>
    </row>
    <row r="22" spans="2:21" ht="45" customHeight="1" x14ac:dyDescent="0.25">
      <c r="D22" s="375" t="s">
        <v>99</v>
      </c>
      <c r="E22" s="375"/>
      <c r="F22" s="375"/>
      <c r="G22" s="375"/>
      <c r="H22" s="375"/>
      <c r="I22" s="375"/>
      <c r="J22" s="375"/>
      <c r="K22" s="375"/>
      <c r="L22" s="375"/>
      <c r="M22" s="375"/>
      <c r="N22" s="375"/>
      <c r="O22" s="375"/>
      <c r="P22" s="375"/>
      <c r="Q22" s="375"/>
      <c r="R22" s="375"/>
      <c r="S22" s="375"/>
      <c r="T22" s="376"/>
      <c r="U22" s="165"/>
    </row>
    <row r="23" spans="2:21" ht="12" customHeight="1" x14ac:dyDescent="0.25">
      <c r="D23" s="108"/>
      <c r="E23" s="108"/>
      <c r="F23" s="108"/>
      <c r="G23" s="108"/>
      <c r="H23" s="108"/>
      <c r="I23" s="108"/>
      <c r="J23" s="108"/>
      <c r="K23" s="108"/>
      <c r="L23" s="108"/>
      <c r="M23" s="108"/>
      <c r="N23" s="108"/>
      <c r="O23" s="108"/>
      <c r="P23" s="108"/>
      <c r="Q23" s="108"/>
      <c r="R23" s="108"/>
      <c r="S23" s="108"/>
      <c r="T23" s="108"/>
      <c r="U23" s="165"/>
    </row>
    <row r="24" spans="2:21" ht="12" customHeight="1" x14ac:dyDescent="0.25">
      <c r="D24" s="108"/>
      <c r="E24" s="108"/>
      <c r="F24" s="108"/>
      <c r="G24" s="108"/>
      <c r="H24" s="108"/>
      <c r="I24" s="108"/>
      <c r="J24" s="108"/>
      <c r="K24" s="108"/>
      <c r="L24" s="108"/>
      <c r="M24" s="108"/>
      <c r="N24" s="108"/>
      <c r="O24" s="108"/>
      <c r="P24" s="108"/>
      <c r="Q24" s="108"/>
      <c r="R24" s="108"/>
      <c r="S24" s="108"/>
      <c r="T24" s="108"/>
      <c r="U24" s="165"/>
    </row>
    <row r="25" spans="2:21" ht="12" customHeight="1" x14ac:dyDescent="0.25">
      <c r="D25" s="108"/>
      <c r="E25" s="108"/>
      <c r="F25" s="108"/>
      <c r="G25" s="108"/>
      <c r="H25" s="108"/>
      <c r="I25" s="108"/>
      <c r="J25" s="108"/>
      <c r="K25" s="108"/>
      <c r="L25" s="108"/>
      <c r="M25" s="108"/>
      <c r="N25" s="108"/>
      <c r="O25" s="108"/>
      <c r="P25" s="108"/>
      <c r="Q25" s="108"/>
      <c r="R25" s="108"/>
      <c r="S25" s="108"/>
      <c r="T25" s="108"/>
      <c r="U25" s="165"/>
    </row>
    <row r="26" spans="2:21" ht="12" customHeight="1" x14ac:dyDescent="0.25">
      <c r="D26" s="108"/>
      <c r="E26" s="108"/>
      <c r="F26" s="108"/>
      <c r="G26" s="108"/>
      <c r="H26" s="108"/>
      <c r="I26" s="108"/>
      <c r="J26" s="108"/>
      <c r="K26" s="108"/>
      <c r="L26" s="108"/>
      <c r="M26" s="108"/>
      <c r="N26" s="108"/>
      <c r="O26" s="108"/>
      <c r="P26" s="108"/>
      <c r="Q26" s="108"/>
      <c r="R26" s="108"/>
      <c r="S26" s="108"/>
      <c r="T26" s="108"/>
      <c r="U26" s="165"/>
    </row>
    <row r="27" spans="2:21" ht="12" customHeight="1" x14ac:dyDescent="0.25">
      <c r="D27" s="108"/>
      <c r="E27" s="108"/>
      <c r="F27" s="108"/>
      <c r="G27" s="108"/>
      <c r="H27" s="108"/>
      <c r="I27" s="108"/>
      <c r="J27" s="108"/>
      <c r="K27" s="108"/>
      <c r="L27" s="108"/>
      <c r="M27" s="108"/>
      <c r="N27" s="108"/>
      <c r="O27" s="108"/>
      <c r="P27" s="108"/>
      <c r="Q27" s="108"/>
      <c r="R27" s="108"/>
      <c r="S27" s="108"/>
      <c r="T27" s="108"/>
      <c r="U27" s="165"/>
    </row>
    <row r="28" spans="2:21" ht="12" customHeight="1" x14ac:dyDescent="0.25">
      <c r="D28" s="108"/>
      <c r="E28" s="108"/>
      <c r="F28" s="108"/>
      <c r="G28" s="108"/>
      <c r="H28" s="108"/>
      <c r="I28" s="108"/>
      <c r="J28" s="108"/>
      <c r="K28" s="108"/>
      <c r="L28" s="108"/>
      <c r="M28" s="108"/>
      <c r="N28" s="108"/>
      <c r="O28" s="108"/>
      <c r="P28" s="108"/>
      <c r="Q28" s="108"/>
      <c r="R28" s="108"/>
      <c r="S28" s="108"/>
      <c r="T28" s="108"/>
      <c r="U28" s="165"/>
    </row>
    <row r="29" spans="2:21" ht="12" customHeight="1" x14ac:dyDescent="0.25">
      <c r="D29" s="108"/>
      <c r="E29" s="108"/>
      <c r="F29" s="108"/>
      <c r="G29" s="108"/>
      <c r="H29" s="108"/>
      <c r="I29" s="108"/>
      <c r="J29" s="108"/>
      <c r="K29" s="108"/>
      <c r="L29" s="108"/>
      <c r="M29" s="108"/>
      <c r="N29" s="108"/>
      <c r="O29" s="108"/>
      <c r="P29" s="108"/>
      <c r="Q29" s="108"/>
      <c r="R29" s="108"/>
      <c r="S29" s="108"/>
      <c r="T29" s="108"/>
      <c r="U29" s="165"/>
    </row>
    <row r="30" spans="2:21" ht="12" customHeight="1" x14ac:dyDescent="0.25">
      <c r="D30" s="108"/>
      <c r="E30" s="108"/>
      <c r="F30" s="108"/>
      <c r="G30" s="108"/>
      <c r="H30" s="108"/>
      <c r="I30" s="108"/>
      <c r="J30" s="108"/>
      <c r="K30" s="108"/>
      <c r="L30" s="108"/>
      <c r="M30" s="108"/>
      <c r="N30" s="108"/>
      <c r="O30" s="108"/>
      <c r="P30" s="108"/>
      <c r="Q30" s="108"/>
      <c r="R30" s="108"/>
      <c r="S30" s="108"/>
      <c r="T30" s="108"/>
      <c r="U30" s="165"/>
    </row>
    <row r="31" spans="2:21" ht="12" customHeight="1" x14ac:dyDescent="0.25">
      <c r="D31" s="108"/>
      <c r="E31" s="108"/>
      <c r="F31" s="108"/>
      <c r="G31" s="108"/>
      <c r="H31" s="108"/>
      <c r="I31" s="108"/>
      <c r="J31" s="108"/>
      <c r="K31" s="108"/>
      <c r="L31" s="108"/>
      <c r="M31" s="108"/>
      <c r="N31" s="108"/>
      <c r="O31" s="108"/>
      <c r="P31" s="108"/>
      <c r="Q31" s="108"/>
      <c r="R31" s="108"/>
      <c r="S31" s="108"/>
      <c r="T31" s="108"/>
      <c r="U31" s="165"/>
    </row>
    <row r="32" spans="2:21" ht="12" customHeight="1" x14ac:dyDescent="0.25">
      <c r="D32" s="108"/>
      <c r="E32" s="108"/>
      <c r="F32" s="108"/>
      <c r="G32" s="108"/>
      <c r="H32" s="108"/>
      <c r="I32" s="108"/>
      <c r="J32" s="108"/>
      <c r="K32" s="108"/>
      <c r="L32" s="108"/>
      <c r="M32" s="108"/>
      <c r="N32" s="108"/>
      <c r="O32" s="108"/>
      <c r="P32" s="108"/>
      <c r="Q32" s="108"/>
      <c r="R32" s="108"/>
      <c r="S32" s="108"/>
      <c r="T32" s="108"/>
      <c r="U32" s="165"/>
    </row>
    <row r="33" spans="4:21" ht="70.150000000000006" customHeight="1" x14ac:dyDescent="0.25">
      <c r="D33" s="108"/>
      <c r="E33" s="108"/>
      <c r="F33" s="179"/>
      <c r="G33" s="179"/>
      <c r="H33" s="179"/>
      <c r="I33" s="179"/>
      <c r="J33" s="179"/>
      <c r="K33" s="180"/>
      <c r="L33" s="108"/>
      <c r="M33" s="108"/>
      <c r="N33" s="108"/>
      <c r="O33" s="108"/>
      <c r="P33" s="108"/>
      <c r="Q33" s="108"/>
      <c r="R33" s="108"/>
      <c r="S33" s="108"/>
      <c r="T33" s="108"/>
      <c r="U33" s="165"/>
    </row>
    <row r="34" spans="4:21" ht="12" customHeight="1" x14ac:dyDescent="0.25">
      <c r="D34" s="108"/>
      <c r="E34" s="108"/>
      <c r="F34" s="108"/>
      <c r="G34" s="108"/>
      <c r="H34" s="108"/>
      <c r="I34" s="108"/>
      <c r="J34" s="108"/>
      <c r="K34" s="108"/>
      <c r="L34" s="108"/>
      <c r="M34" s="108"/>
      <c r="N34" s="108"/>
      <c r="O34" s="108"/>
      <c r="P34" s="108"/>
      <c r="Q34" s="108"/>
      <c r="R34" s="108"/>
      <c r="S34" s="108"/>
      <c r="T34" s="108"/>
      <c r="U34" s="165"/>
    </row>
    <row r="35" spans="4:21" ht="12" customHeight="1" x14ac:dyDescent="0.25">
      <c r="D35" s="108"/>
      <c r="E35" s="108"/>
      <c r="F35" s="108"/>
      <c r="G35" s="108"/>
      <c r="H35" s="108"/>
      <c r="I35" s="108"/>
      <c r="J35" s="108"/>
      <c r="K35" s="108"/>
      <c r="L35" s="108"/>
      <c r="M35" s="108"/>
      <c r="N35" s="108"/>
      <c r="O35" s="108"/>
      <c r="P35" s="108"/>
      <c r="Q35" s="108"/>
      <c r="R35" s="108"/>
      <c r="S35" s="108"/>
      <c r="T35" s="108"/>
      <c r="U35" s="165"/>
    </row>
    <row r="36" spans="4:21" ht="12" customHeight="1" x14ac:dyDescent="0.25">
      <c r="D36" s="108"/>
      <c r="E36" s="108"/>
      <c r="F36" s="108"/>
      <c r="G36" s="108"/>
      <c r="H36" s="108"/>
      <c r="I36" s="108"/>
      <c r="J36" s="108"/>
      <c r="K36" s="108"/>
      <c r="L36" s="108"/>
      <c r="M36" s="108"/>
      <c r="N36" s="108"/>
      <c r="O36" s="108"/>
      <c r="P36" s="108"/>
      <c r="Q36" s="108"/>
      <c r="R36" s="108"/>
      <c r="S36" s="108"/>
      <c r="T36" s="108"/>
      <c r="U36" s="165"/>
    </row>
    <row r="37" spans="4:21" ht="12" customHeight="1" x14ac:dyDescent="0.25">
      <c r="D37" s="108"/>
      <c r="E37" s="108"/>
      <c r="F37" s="108"/>
      <c r="G37" s="108"/>
      <c r="H37" s="108"/>
      <c r="I37" s="108"/>
      <c r="J37" s="108"/>
      <c r="K37" s="108"/>
      <c r="L37" s="108"/>
      <c r="M37" s="108"/>
      <c r="N37" s="108"/>
      <c r="O37" s="108"/>
      <c r="P37" s="108"/>
      <c r="Q37" s="108"/>
      <c r="R37" s="108"/>
      <c r="S37" s="108"/>
      <c r="T37" s="108"/>
      <c r="U37" s="165"/>
    </row>
    <row r="38" spans="4:21" ht="12" customHeight="1" x14ac:dyDescent="0.25">
      <c r="D38" s="108"/>
      <c r="E38" s="108"/>
      <c r="F38" s="108"/>
      <c r="G38" s="108"/>
      <c r="H38" s="108"/>
      <c r="I38" s="108"/>
      <c r="J38" s="108"/>
      <c r="K38" s="108"/>
      <c r="L38" s="108"/>
      <c r="M38" s="108"/>
      <c r="N38" s="108"/>
      <c r="O38" s="108"/>
      <c r="P38" s="108"/>
      <c r="Q38" s="108"/>
      <c r="R38" s="108"/>
      <c r="S38" s="108"/>
      <c r="T38" s="108"/>
      <c r="U38" s="165"/>
    </row>
    <row r="39" spans="4:21" ht="12" customHeight="1" x14ac:dyDescent="0.25">
      <c r="D39" s="108"/>
      <c r="E39" s="108"/>
      <c r="F39" s="108"/>
      <c r="G39" s="108"/>
      <c r="H39" s="108"/>
      <c r="I39" s="108"/>
      <c r="J39" s="108"/>
      <c r="K39" s="108"/>
      <c r="L39" s="108"/>
      <c r="M39" s="108"/>
      <c r="N39" s="108"/>
      <c r="O39" s="108"/>
      <c r="P39" s="108"/>
      <c r="Q39" s="108"/>
      <c r="R39" s="108"/>
      <c r="S39" s="108"/>
      <c r="T39" s="108"/>
      <c r="U39" s="165"/>
    </row>
    <row r="40" spans="4:21" ht="12" customHeight="1" x14ac:dyDescent="0.25">
      <c r="D40" s="108"/>
      <c r="E40" s="108"/>
      <c r="F40" s="108"/>
      <c r="G40" s="108"/>
      <c r="H40" s="108"/>
      <c r="I40" s="108"/>
      <c r="J40" s="108"/>
      <c r="K40" s="108"/>
      <c r="L40" s="108"/>
      <c r="M40" s="108"/>
      <c r="N40" s="108"/>
      <c r="O40" s="108"/>
      <c r="P40" s="108"/>
      <c r="Q40" s="108"/>
      <c r="R40" s="108"/>
      <c r="S40" s="108"/>
      <c r="T40" s="108"/>
      <c r="U40" s="165"/>
    </row>
    <row r="41" spans="4:21" ht="12" customHeight="1" x14ac:dyDescent="0.25">
      <c r="D41" s="108"/>
      <c r="E41" s="108"/>
      <c r="F41" s="108"/>
      <c r="G41" s="108"/>
      <c r="H41" s="108"/>
      <c r="I41" s="108"/>
      <c r="J41" s="108"/>
      <c r="K41" s="108"/>
      <c r="L41" s="108"/>
      <c r="M41" s="108"/>
      <c r="N41" s="108"/>
      <c r="O41" s="108"/>
      <c r="P41" s="108"/>
      <c r="Q41" s="108"/>
      <c r="R41" s="108"/>
      <c r="S41" s="108"/>
      <c r="T41" s="108"/>
      <c r="U41" s="165"/>
    </row>
    <row r="42" spans="4:21" ht="12" customHeight="1" x14ac:dyDescent="0.25">
      <c r="D42" s="108"/>
      <c r="E42" s="108"/>
      <c r="F42" s="108"/>
      <c r="G42" s="108"/>
      <c r="H42" s="108"/>
      <c r="I42" s="108"/>
      <c r="J42" s="108"/>
      <c r="K42" s="108"/>
      <c r="L42" s="108"/>
      <c r="M42" s="108"/>
      <c r="N42" s="108"/>
      <c r="O42" s="108"/>
      <c r="P42" s="108"/>
      <c r="Q42" s="108"/>
      <c r="R42" s="108"/>
      <c r="S42" s="108"/>
      <c r="T42" s="108"/>
      <c r="U42" s="165"/>
    </row>
    <row r="43" spans="4:21" ht="12" customHeight="1" x14ac:dyDescent="0.25">
      <c r="D43" s="108"/>
      <c r="E43" s="108"/>
      <c r="F43" s="108"/>
      <c r="G43" s="108"/>
      <c r="H43" s="108"/>
      <c r="I43" s="108"/>
      <c r="J43" s="108"/>
      <c r="K43" s="108"/>
      <c r="L43" s="108"/>
      <c r="M43" s="108"/>
      <c r="N43" s="108"/>
      <c r="O43" s="108"/>
      <c r="P43" s="108"/>
      <c r="Q43" s="108"/>
      <c r="R43" s="108"/>
      <c r="S43" s="108"/>
      <c r="T43" s="108"/>
      <c r="U43" s="165"/>
    </row>
    <row r="44" spans="4:21" ht="12" customHeight="1" x14ac:dyDescent="0.25">
      <c r="D44" s="108"/>
      <c r="E44" s="108"/>
      <c r="F44" s="108"/>
      <c r="G44" s="108"/>
      <c r="H44" s="108"/>
      <c r="I44" s="108"/>
      <c r="J44" s="108"/>
      <c r="K44" s="108"/>
      <c r="L44" s="108"/>
      <c r="M44" s="108"/>
      <c r="N44" s="108"/>
      <c r="O44" s="108"/>
      <c r="P44" s="108"/>
      <c r="Q44" s="108"/>
      <c r="R44" s="108"/>
      <c r="S44" s="108"/>
      <c r="T44" s="108"/>
      <c r="U44" s="165"/>
    </row>
    <row r="45" spans="4:21" ht="12" customHeight="1" x14ac:dyDescent="0.25">
      <c r="D45" s="108"/>
      <c r="E45" s="108"/>
      <c r="F45" s="108"/>
      <c r="G45" s="108"/>
      <c r="H45" s="108"/>
      <c r="I45" s="108"/>
      <c r="J45" s="108"/>
      <c r="K45" s="108"/>
      <c r="L45" s="108"/>
      <c r="M45" s="108"/>
      <c r="N45" s="108"/>
      <c r="O45" s="108"/>
      <c r="P45" s="108"/>
      <c r="Q45" s="108"/>
      <c r="R45" s="108"/>
      <c r="S45" s="108"/>
      <c r="T45" s="108"/>
      <c r="U45" s="165"/>
    </row>
    <row r="46" spans="4:21" ht="12" customHeight="1" x14ac:dyDescent="0.25">
      <c r="D46" s="108"/>
      <c r="E46" s="108"/>
      <c r="F46" s="108"/>
      <c r="G46" s="108"/>
      <c r="H46" s="108"/>
      <c r="I46" s="108"/>
      <c r="J46" s="108"/>
      <c r="K46" s="108"/>
      <c r="L46" s="108"/>
      <c r="M46" s="108"/>
      <c r="N46" s="108"/>
      <c r="O46" s="108"/>
      <c r="P46" s="108"/>
      <c r="Q46" s="108"/>
      <c r="R46" s="108"/>
      <c r="S46" s="108"/>
      <c r="T46" s="108"/>
      <c r="U46" s="165"/>
    </row>
    <row r="47" spans="4:21" ht="12" customHeight="1" x14ac:dyDescent="0.25">
      <c r="D47" s="108"/>
      <c r="E47" s="108"/>
      <c r="F47" s="108"/>
      <c r="G47" s="108"/>
      <c r="H47" s="108"/>
      <c r="I47" s="108"/>
      <c r="J47" s="108"/>
      <c r="K47" s="108"/>
      <c r="L47" s="108"/>
      <c r="M47" s="108"/>
      <c r="N47" s="108"/>
      <c r="O47" s="108"/>
      <c r="P47" s="108"/>
      <c r="Q47" s="108"/>
      <c r="R47" s="108"/>
      <c r="S47" s="108"/>
      <c r="T47" s="108"/>
      <c r="U47" s="165"/>
    </row>
    <row r="48" spans="4:21" ht="12" customHeight="1" x14ac:dyDescent="0.25">
      <c r="D48" s="108"/>
      <c r="E48" s="108"/>
      <c r="F48" s="108"/>
      <c r="G48" s="108"/>
      <c r="H48" s="108"/>
      <c r="I48" s="108"/>
      <c r="J48" s="108"/>
      <c r="K48" s="108"/>
      <c r="L48" s="108"/>
      <c r="M48" s="108"/>
      <c r="N48" s="108"/>
      <c r="O48" s="108"/>
      <c r="P48" s="108"/>
      <c r="Q48" s="108"/>
      <c r="R48" s="108"/>
      <c r="S48" s="108"/>
      <c r="T48" s="108"/>
      <c r="U48" s="165"/>
    </row>
    <row r="49" spans="4:21" ht="12" customHeight="1" x14ac:dyDescent="0.25">
      <c r="D49" s="108"/>
      <c r="E49" s="108"/>
      <c r="F49" s="108"/>
      <c r="G49" s="108"/>
      <c r="H49" s="108"/>
      <c r="I49" s="108"/>
      <c r="J49" s="108"/>
      <c r="K49" s="108"/>
      <c r="L49" s="108"/>
      <c r="M49" s="108"/>
      <c r="N49" s="108"/>
      <c r="O49" s="108"/>
      <c r="P49" s="108"/>
      <c r="Q49" s="108"/>
      <c r="R49" s="108"/>
      <c r="S49" s="108"/>
      <c r="T49" s="108"/>
      <c r="U49" s="165"/>
    </row>
    <row r="50" spans="4:21" ht="12" customHeight="1" x14ac:dyDescent="0.25">
      <c r="D50" s="108"/>
      <c r="E50" s="108"/>
      <c r="F50" s="108"/>
      <c r="G50" s="108"/>
      <c r="H50" s="108"/>
      <c r="I50" s="108"/>
      <c r="J50" s="108"/>
      <c r="K50" s="108"/>
      <c r="L50" s="108"/>
      <c r="M50" s="108"/>
      <c r="N50" s="108"/>
      <c r="O50" s="108"/>
      <c r="P50" s="108"/>
      <c r="Q50" s="108"/>
      <c r="R50" s="108"/>
      <c r="S50" s="108"/>
      <c r="T50" s="108"/>
      <c r="U50" s="165"/>
    </row>
    <row r="51" spans="4:21" ht="12" customHeight="1" x14ac:dyDescent="0.25">
      <c r="D51" s="108"/>
      <c r="E51" s="108"/>
      <c r="F51" s="108"/>
      <c r="G51" s="108"/>
      <c r="H51" s="108"/>
      <c r="I51" s="108"/>
      <c r="J51" s="108"/>
      <c r="K51" s="108"/>
      <c r="L51" s="108"/>
      <c r="M51" s="108"/>
      <c r="N51" s="108"/>
      <c r="O51" s="108"/>
      <c r="P51" s="108"/>
      <c r="Q51" s="108"/>
      <c r="R51" s="108"/>
      <c r="S51" s="108"/>
      <c r="T51" s="108"/>
      <c r="U51" s="165"/>
    </row>
    <row r="52" spans="4:21" ht="12" customHeight="1" x14ac:dyDescent="0.25">
      <c r="D52" s="108"/>
      <c r="E52" s="108"/>
      <c r="F52" s="108"/>
      <c r="G52" s="108"/>
      <c r="H52" s="108"/>
      <c r="I52" s="108"/>
      <c r="J52" s="108"/>
      <c r="K52" s="108"/>
      <c r="L52" s="108"/>
      <c r="M52" s="108"/>
      <c r="N52" s="108"/>
      <c r="O52" s="108"/>
      <c r="P52" s="108"/>
      <c r="Q52" s="108"/>
      <c r="R52" s="108"/>
      <c r="S52" s="108"/>
      <c r="T52" s="108"/>
      <c r="U52" s="165"/>
    </row>
    <row r="53" spans="4:21" ht="12" customHeight="1" x14ac:dyDescent="0.25">
      <c r="D53" s="108"/>
      <c r="E53" s="108"/>
      <c r="F53" s="108"/>
      <c r="G53" s="108"/>
      <c r="H53" s="108"/>
      <c r="I53" s="108"/>
      <c r="J53" s="108"/>
      <c r="K53" s="108"/>
      <c r="L53" s="108"/>
      <c r="M53" s="108"/>
      <c r="N53" s="108"/>
      <c r="O53" s="108"/>
      <c r="P53" s="108"/>
      <c r="Q53" s="108"/>
      <c r="R53" s="108"/>
      <c r="S53" s="108"/>
      <c r="T53" s="108"/>
      <c r="U53" s="165"/>
    </row>
    <row r="54" spans="4:21" ht="12" customHeight="1" x14ac:dyDescent="0.25">
      <c r="D54" s="108"/>
      <c r="E54" s="108"/>
      <c r="F54" s="108"/>
      <c r="G54" s="108"/>
      <c r="H54" s="108"/>
      <c r="I54" s="108"/>
      <c r="J54" s="108"/>
      <c r="K54" s="108"/>
      <c r="L54" s="108"/>
      <c r="M54" s="108"/>
      <c r="N54" s="108"/>
      <c r="O54" s="108"/>
      <c r="P54" s="108"/>
      <c r="Q54" s="108"/>
      <c r="R54" s="108"/>
      <c r="S54" s="108"/>
      <c r="T54" s="108"/>
      <c r="U54" s="165"/>
    </row>
    <row r="55" spans="4:21" ht="12" customHeight="1" x14ac:dyDescent="0.25">
      <c r="D55" s="108"/>
      <c r="E55" s="108"/>
      <c r="F55" s="108"/>
      <c r="G55" s="108"/>
      <c r="H55" s="108"/>
      <c r="I55" s="108"/>
      <c r="J55" s="108"/>
      <c r="K55" s="108"/>
      <c r="L55" s="108"/>
      <c r="M55" s="108"/>
      <c r="N55" s="108"/>
      <c r="O55" s="108"/>
      <c r="P55" s="108"/>
      <c r="Q55" s="108"/>
      <c r="R55" s="108"/>
      <c r="S55" s="108"/>
      <c r="T55" s="108"/>
      <c r="U55" s="165"/>
    </row>
    <row r="56" spans="4:21" ht="12" customHeight="1" x14ac:dyDescent="0.25">
      <c r="D56" s="108"/>
      <c r="E56" s="108"/>
      <c r="F56" s="108"/>
      <c r="G56" s="108"/>
      <c r="H56" s="108"/>
      <c r="I56" s="108"/>
      <c r="J56" s="108"/>
      <c r="K56" s="108"/>
      <c r="L56" s="108"/>
      <c r="M56" s="108"/>
      <c r="N56" s="108"/>
      <c r="O56" s="108"/>
      <c r="P56" s="108"/>
      <c r="Q56" s="108"/>
      <c r="R56" s="108"/>
      <c r="S56" s="108"/>
      <c r="T56" s="108"/>
      <c r="U56" s="165"/>
    </row>
    <row r="57" spans="4:21" ht="12" customHeight="1" x14ac:dyDescent="0.25">
      <c r="D57" s="108"/>
      <c r="E57" s="108"/>
      <c r="F57" s="108"/>
      <c r="G57" s="108"/>
      <c r="H57" s="108"/>
      <c r="I57" s="108"/>
      <c r="J57" s="108"/>
      <c r="K57" s="108"/>
      <c r="L57" s="108"/>
      <c r="M57" s="108"/>
      <c r="N57" s="108"/>
      <c r="O57" s="108"/>
      <c r="P57" s="108"/>
      <c r="Q57" s="108"/>
      <c r="R57" s="108"/>
      <c r="S57" s="108"/>
      <c r="T57" s="108"/>
      <c r="U57" s="165"/>
    </row>
    <row r="58" spans="4:21" ht="12" customHeight="1" x14ac:dyDescent="0.25">
      <c r="D58" s="108"/>
      <c r="E58" s="108"/>
      <c r="F58" s="108"/>
      <c r="G58" s="108"/>
      <c r="H58" s="108"/>
      <c r="I58" s="108"/>
      <c r="J58" s="108"/>
      <c r="K58" s="108"/>
      <c r="L58" s="108"/>
      <c r="M58" s="108"/>
      <c r="N58" s="108"/>
      <c r="O58" s="108"/>
      <c r="P58" s="108"/>
      <c r="Q58" s="108"/>
      <c r="R58" s="108"/>
      <c r="S58" s="108"/>
      <c r="T58" s="108"/>
      <c r="U58" s="165"/>
    </row>
    <row r="59" spans="4:21" x14ac:dyDescent="0.25">
      <c r="D59" s="108"/>
      <c r="E59" s="108"/>
      <c r="F59" s="108"/>
      <c r="G59" s="108"/>
      <c r="H59" s="108"/>
      <c r="I59" s="108"/>
      <c r="J59" s="108"/>
      <c r="K59" s="108"/>
      <c r="L59" s="108"/>
      <c r="M59" s="108"/>
      <c r="N59" s="108"/>
      <c r="O59" s="108"/>
      <c r="P59" s="108"/>
      <c r="Q59" s="108"/>
      <c r="R59" s="108"/>
      <c r="S59" s="108"/>
      <c r="T59" s="108"/>
      <c r="U59" s="165"/>
    </row>
    <row r="60" spans="4:21" x14ac:dyDescent="0.25">
      <c r="D60" s="108"/>
      <c r="E60" s="108"/>
      <c r="F60" s="108"/>
      <c r="G60" s="108"/>
      <c r="H60" s="108"/>
      <c r="I60" s="108"/>
      <c r="J60" s="108"/>
      <c r="K60" s="108"/>
      <c r="L60" s="108"/>
      <c r="M60" s="108"/>
      <c r="N60" s="108"/>
      <c r="O60" s="108"/>
      <c r="P60" s="108"/>
      <c r="Q60" s="108"/>
      <c r="R60" s="108"/>
      <c r="S60" s="108"/>
      <c r="T60" s="108"/>
      <c r="U60" s="165"/>
    </row>
    <row r="61" spans="4:21" ht="45" customHeight="1" x14ac:dyDescent="0.25">
      <c r="D61" s="108"/>
      <c r="E61" s="108"/>
      <c r="F61" s="108"/>
      <c r="G61" s="108"/>
      <c r="H61" s="108"/>
      <c r="I61" s="108"/>
      <c r="J61" s="108"/>
      <c r="K61" s="108"/>
      <c r="L61" s="108"/>
      <c r="M61" s="108"/>
      <c r="N61" s="108"/>
      <c r="O61" s="108"/>
      <c r="P61" s="108"/>
      <c r="Q61" s="108"/>
      <c r="R61" s="108"/>
      <c r="S61" s="108"/>
      <c r="T61" s="108"/>
      <c r="U61" s="181"/>
    </row>
  </sheetData>
  <mergeCells count="4">
    <mergeCell ref="B1:T1"/>
    <mergeCell ref="D17:L17"/>
    <mergeCell ref="D22:T22"/>
    <mergeCell ref="P17:R17"/>
  </mergeCells>
  <pageMargins left="0.25" right="0.25" top="0.75" bottom="0.75" header="0.3" footer="0.3"/>
  <pageSetup paperSize="17"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0"/>
  <sheetViews>
    <sheetView workbookViewId="0"/>
  </sheetViews>
  <sheetFormatPr defaultRowHeight="15" x14ac:dyDescent="0.25"/>
  <cols>
    <col min="1" max="1" width="19.85546875" customWidth="1"/>
    <col min="2" max="2" width="21.28515625" customWidth="1"/>
    <col min="3" max="3" width="47.42578125" customWidth="1"/>
    <col min="4" max="5" width="30.7109375" customWidth="1"/>
    <col min="6" max="6" width="31.28515625" customWidth="1"/>
    <col min="7" max="15" width="30.7109375" customWidth="1"/>
  </cols>
  <sheetData>
    <row r="1" spans="1:15" x14ac:dyDescent="0.25">
      <c r="A1" s="3"/>
      <c r="B1" s="3"/>
      <c r="C1" s="8"/>
      <c r="D1" s="51" t="s">
        <v>53</v>
      </c>
      <c r="E1" s="62" t="s">
        <v>54</v>
      </c>
      <c r="F1" s="60" t="s">
        <v>57</v>
      </c>
      <c r="G1" s="50" t="s">
        <v>58</v>
      </c>
      <c r="H1" s="63" t="s">
        <v>62</v>
      </c>
      <c r="I1" s="45" t="s">
        <v>61</v>
      </c>
      <c r="J1" s="44" t="s">
        <v>71</v>
      </c>
      <c r="K1" s="45" t="s">
        <v>70</v>
      </c>
      <c r="L1" s="44" t="s">
        <v>69</v>
      </c>
      <c r="M1" s="45" t="s">
        <v>68</v>
      </c>
      <c r="N1" s="63" t="s">
        <v>72</v>
      </c>
      <c r="O1" s="45" t="s">
        <v>73</v>
      </c>
    </row>
    <row r="2" spans="1:15" ht="45" customHeight="1" x14ac:dyDescent="0.25">
      <c r="A2" s="4" t="s">
        <v>0</v>
      </c>
      <c r="B2" s="15" t="s">
        <v>1</v>
      </c>
      <c r="C2" s="57" t="s">
        <v>2</v>
      </c>
      <c r="D2" s="4" t="s">
        <v>55</v>
      </c>
      <c r="E2" s="17" t="s">
        <v>56</v>
      </c>
      <c r="F2" s="61" t="s">
        <v>59</v>
      </c>
      <c r="G2" s="17" t="s">
        <v>74</v>
      </c>
      <c r="H2" s="64" t="s">
        <v>63</v>
      </c>
      <c r="I2" s="17" t="s">
        <v>60</v>
      </c>
      <c r="J2" s="16" t="s">
        <v>64</v>
      </c>
      <c r="K2" s="46" t="s">
        <v>65</v>
      </c>
      <c r="L2" s="59" t="s">
        <v>66</v>
      </c>
      <c r="M2" s="17" t="s">
        <v>67</v>
      </c>
      <c r="N2" s="64" t="s">
        <v>75</v>
      </c>
      <c r="O2" s="17" t="s">
        <v>75</v>
      </c>
    </row>
    <row r="3" spans="1:15" ht="15" customHeight="1" x14ac:dyDescent="0.25">
      <c r="A3" s="383" t="s">
        <v>6</v>
      </c>
      <c r="B3" s="380"/>
      <c r="C3" s="6"/>
      <c r="D3" s="55"/>
      <c r="E3" s="56"/>
      <c r="F3" s="7"/>
      <c r="G3" s="56"/>
      <c r="H3" s="65"/>
      <c r="I3" s="9"/>
      <c r="J3" s="5"/>
      <c r="K3" s="10"/>
      <c r="L3" s="7"/>
      <c r="M3" s="10"/>
      <c r="N3" s="7"/>
      <c r="O3" s="10"/>
    </row>
    <row r="4" spans="1:15" x14ac:dyDescent="0.25">
      <c r="A4" s="384"/>
      <c r="B4" s="381"/>
      <c r="C4" s="6"/>
      <c r="D4" s="5"/>
      <c r="E4" s="10"/>
      <c r="F4" s="7"/>
      <c r="G4" s="9"/>
      <c r="H4" s="26"/>
      <c r="I4" s="9"/>
      <c r="J4" s="5"/>
      <c r="K4" s="10"/>
      <c r="L4" s="7"/>
      <c r="M4" s="10"/>
      <c r="N4" s="7"/>
      <c r="O4" s="10"/>
    </row>
    <row r="5" spans="1:15" x14ac:dyDescent="0.25">
      <c r="A5" s="385"/>
      <c r="B5" s="382"/>
      <c r="C5" s="23"/>
      <c r="D5" s="22"/>
      <c r="E5" s="25"/>
      <c r="F5" s="39"/>
      <c r="G5" s="25"/>
      <c r="H5" s="39"/>
      <c r="I5" s="25"/>
      <c r="J5" s="22"/>
      <c r="K5" s="25"/>
      <c r="L5" s="39"/>
      <c r="M5" s="25"/>
      <c r="N5" s="39"/>
      <c r="O5" s="25"/>
    </row>
    <row r="6" spans="1:15" x14ac:dyDescent="0.25">
      <c r="A6" s="383" t="s">
        <v>5</v>
      </c>
      <c r="B6" s="380"/>
      <c r="C6" s="6"/>
      <c r="D6" s="5"/>
      <c r="E6" s="10"/>
      <c r="F6" s="7"/>
      <c r="G6" s="10"/>
      <c r="H6" s="7"/>
      <c r="I6" s="10"/>
      <c r="J6" s="5"/>
      <c r="K6" s="10"/>
      <c r="L6" s="7"/>
      <c r="M6" s="10"/>
      <c r="N6" s="7"/>
      <c r="O6" s="10"/>
    </row>
    <row r="7" spans="1:15" x14ac:dyDescent="0.25">
      <c r="A7" s="384"/>
      <c r="B7" s="381"/>
      <c r="C7" s="6"/>
      <c r="D7" s="5"/>
      <c r="E7" s="10"/>
      <c r="F7" s="7"/>
      <c r="G7" s="10"/>
      <c r="H7" s="7"/>
      <c r="I7" s="10"/>
      <c r="J7" s="5"/>
      <c r="K7" s="10"/>
      <c r="L7" s="7"/>
      <c r="M7" s="10"/>
      <c r="N7" s="7"/>
      <c r="O7" s="10"/>
    </row>
    <row r="8" spans="1:15" x14ac:dyDescent="0.25">
      <c r="A8" s="385"/>
      <c r="B8" s="382"/>
      <c r="C8" s="23"/>
      <c r="D8" s="22"/>
      <c r="E8" s="25"/>
      <c r="F8" s="39"/>
      <c r="G8" s="25"/>
      <c r="H8" s="39"/>
      <c r="I8" s="25"/>
      <c r="J8" s="22"/>
      <c r="K8" s="25"/>
      <c r="L8" s="39"/>
      <c r="M8" s="25"/>
      <c r="N8" s="39"/>
      <c r="O8" s="25"/>
    </row>
    <row r="9" spans="1:15" ht="15" customHeight="1" x14ac:dyDescent="0.25">
      <c r="A9" s="383" t="s">
        <v>4</v>
      </c>
      <c r="B9" s="380"/>
      <c r="C9" s="6" t="s">
        <v>30</v>
      </c>
      <c r="D9" s="5"/>
      <c r="E9" s="10"/>
      <c r="F9" s="7"/>
      <c r="G9" s="10"/>
      <c r="H9" s="7"/>
      <c r="I9" s="10"/>
      <c r="J9" s="5"/>
      <c r="K9" s="10"/>
      <c r="L9" s="7"/>
      <c r="M9" s="10"/>
      <c r="N9" s="7"/>
      <c r="O9" s="10"/>
    </row>
    <row r="10" spans="1:15" x14ac:dyDescent="0.25">
      <c r="A10" s="385"/>
      <c r="B10" s="382"/>
      <c r="C10" s="23"/>
      <c r="D10" s="22"/>
      <c r="E10" s="25"/>
      <c r="F10" s="39"/>
      <c r="G10" s="25"/>
      <c r="H10" s="39"/>
      <c r="I10" s="25"/>
      <c r="J10" s="22"/>
      <c r="K10" s="25"/>
      <c r="L10" s="39"/>
      <c r="M10" s="25"/>
      <c r="N10" s="39"/>
      <c r="O10" s="25"/>
    </row>
    <row r="11" spans="1:15" ht="45.75" customHeight="1" x14ac:dyDescent="0.25">
      <c r="A11" s="383" t="s">
        <v>3</v>
      </c>
      <c r="B11" s="380"/>
      <c r="C11" s="19" t="s">
        <v>23</v>
      </c>
      <c r="D11" s="5"/>
      <c r="E11" s="10"/>
      <c r="F11" s="43"/>
      <c r="G11" s="9"/>
      <c r="H11" s="7"/>
      <c r="I11" s="10"/>
      <c r="J11" s="5"/>
      <c r="K11" s="10"/>
      <c r="L11" s="7"/>
      <c r="M11" s="10"/>
      <c r="N11" s="7"/>
      <c r="O11" s="10"/>
    </row>
    <row r="12" spans="1:15" ht="29.25" customHeight="1" x14ac:dyDescent="0.25">
      <c r="A12" s="384"/>
      <c r="B12" s="381"/>
      <c r="C12" s="19" t="s">
        <v>24</v>
      </c>
      <c r="D12" s="5"/>
      <c r="E12" s="10"/>
      <c r="F12" s="7"/>
      <c r="G12" s="10"/>
      <c r="H12" s="7"/>
      <c r="I12" s="10"/>
      <c r="J12" s="5"/>
      <c r="K12" s="10"/>
      <c r="L12" s="7"/>
      <c r="M12" s="10"/>
      <c r="N12" s="7"/>
      <c r="O12" s="10"/>
    </row>
    <row r="13" spans="1:15" ht="30.75" customHeight="1" x14ac:dyDescent="0.25">
      <c r="A13" s="384"/>
      <c r="B13" s="381"/>
      <c r="C13" s="19" t="s">
        <v>25</v>
      </c>
      <c r="D13" s="5"/>
      <c r="E13" s="10"/>
      <c r="F13" s="7"/>
      <c r="G13" s="10"/>
      <c r="H13" s="7"/>
      <c r="I13" s="10"/>
      <c r="J13" s="5"/>
      <c r="K13" s="10"/>
      <c r="L13" s="7"/>
      <c r="M13" s="10"/>
      <c r="N13" s="7"/>
      <c r="O13" s="10"/>
    </row>
    <row r="14" spans="1:15" ht="30.75" customHeight="1" x14ac:dyDescent="0.25">
      <c r="A14" s="384"/>
      <c r="B14" s="381"/>
      <c r="C14" s="19" t="s">
        <v>26</v>
      </c>
      <c r="D14" s="5"/>
      <c r="E14" s="10"/>
      <c r="F14" s="7"/>
      <c r="G14" s="10"/>
      <c r="H14" s="7"/>
      <c r="I14" s="10"/>
      <c r="J14" s="5"/>
      <c r="K14" s="10"/>
      <c r="L14" s="7"/>
      <c r="M14" s="10"/>
      <c r="N14" s="7"/>
      <c r="O14" s="10"/>
    </row>
    <row r="15" spans="1:15" ht="15" customHeight="1" x14ac:dyDescent="0.25">
      <c r="A15" s="384"/>
      <c r="B15" s="381"/>
      <c r="C15" s="19" t="s">
        <v>27</v>
      </c>
      <c r="D15" s="5"/>
      <c r="E15" s="10"/>
      <c r="F15" s="7"/>
      <c r="G15" s="10"/>
      <c r="H15" s="7"/>
      <c r="I15" s="10"/>
      <c r="J15" s="5"/>
      <c r="K15" s="10"/>
      <c r="L15" s="7"/>
      <c r="M15" s="10"/>
      <c r="N15" s="7"/>
      <c r="O15" s="10"/>
    </row>
    <row r="16" spans="1:15" ht="15" customHeight="1" x14ac:dyDescent="0.25">
      <c r="A16" s="385"/>
      <c r="B16" s="382"/>
      <c r="C16" s="21"/>
      <c r="D16" s="22"/>
      <c r="E16" s="25"/>
      <c r="F16" s="39"/>
      <c r="G16" s="25"/>
      <c r="H16" s="39"/>
      <c r="I16" s="25"/>
      <c r="J16" s="22"/>
      <c r="K16" s="25"/>
      <c r="L16" s="39"/>
      <c r="M16" s="25"/>
      <c r="N16" s="39"/>
      <c r="O16" s="25"/>
    </row>
    <row r="17" spans="1:15" s="1" customFormat="1" ht="30.75" customHeight="1" x14ac:dyDescent="0.25">
      <c r="A17" s="383" t="s">
        <v>7</v>
      </c>
      <c r="B17" s="386"/>
      <c r="C17" s="19" t="s">
        <v>28</v>
      </c>
      <c r="D17" s="24"/>
      <c r="E17" s="27"/>
      <c r="F17" s="58"/>
      <c r="G17" s="27"/>
      <c r="H17" s="58"/>
      <c r="I17" s="27"/>
      <c r="J17" s="24"/>
      <c r="K17" s="27"/>
      <c r="L17" s="58"/>
      <c r="M17" s="27"/>
      <c r="N17" s="58"/>
      <c r="O17" s="27"/>
    </row>
    <row r="18" spans="1:15" ht="30.75" customHeight="1" x14ac:dyDescent="0.25">
      <c r="A18" s="384"/>
      <c r="B18" s="387"/>
      <c r="C18" s="19" t="s">
        <v>29</v>
      </c>
      <c r="D18" s="5"/>
      <c r="E18" s="10"/>
      <c r="F18" s="7"/>
      <c r="G18" s="43"/>
      <c r="H18" s="66"/>
      <c r="I18" s="10"/>
      <c r="J18" s="5"/>
      <c r="K18" s="10"/>
      <c r="L18" s="7"/>
      <c r="M18" s="10"/>
      <c r="N18" s="7"/>
      <c r="O18" s="10"/>
    </row>
    <row r="19" spans="1:15" x14ac:dyDescent="0.25">
      <c r="A19" s="385"/>
      <c r="B19" s="388"/>
      <c r="C19" s="23"/>
      <c r="D19" s="22"/>
      <c r="E19" s="25"/>
      <c r="F19" s="39"/>
      <c r="G19" s="25"/>
      <c r="H19" s="39"/>
      <c r="I19" s="25"/>
      <c r="J19" s="22"/>
      <c r="K19" s="25"/>
      <c r="L19" s="39"/>
      <c r="M19" s="25"/>
      <c r="N19" s="39"/>
      <c r="O19" s="25"/>
    </row>
    <row r="20" spans="1:15" x14ac:dyDescent="0.25">
      <c r="A20" s="389" t="s">
        <v>8</v>
      </c>
      <c r="B20" s="380"/>
      <c r="C20" s="6" t="s">
        <v>31</v>
      </c>
      <c r="D20" s="5"/>
      <c r="E20" s="10"/>
      <c r="F20" s="7"/>
      <c r="G20" s="10"/>
      <c r="H20" s="7"/>
      <c r="I20" s="10"/>
      <c r="J20" s="5"/>
      <c r="K20" s="10"/>
      <c r="L20" s="7"/>
      <c r="M20" s="10"/>
      <c r="N20" s="7"/>
      <c r="O20" s="10"/>
    </row>
    <row r="21" spans="1:15" x14ac:dyDescent="0.25">
      <c r="A21" s="390"/>
      <c r="B21" s="382"/>
      <c r="C21" s="23"/>
      <c r="D21" s="22"/>
      <c r="E21" s="25"/>
      <c r="F21" s="39"/>
      <c r="G21" s="25"/>
      <c r="H21" s="39"/>
      <c r="I21" s="25"/>
      <c r="J21" s="22"/>
      <c r="K21" s="25"/>
      <c r="L21" s="39"/>
      <c r="M21" s="25"/>
      <c r="N21" s="39"/>
      <c r="O21" s="25"/>
    </row>
    <row r="22" spans="1:15" x14ac:dyDescent="0.25">
      <c r="A22" s="389" t="s">
        <v>9</v>
      </c>
      <c r="B22" s="391"/>
      <c r="C22" s="6"/>
      <c r="D22" s="5"/>
      <c r="E22" s="10"/>
      <c r="F22" s="7"/>
      <c r="G22" s="10"/>
      <c r="H22" s="7"/>
      <c r="I22" s="10"/>
      <c r="J22" s="5"/>
      <c r="K22" s="10"/>
      <c r="L22" s="7"/>
      <c r="M22" s="10"/>
      <c r="N22" s="7"/>
      <c r="O22" s="10"/>
    </row>
    <row r="23" spans="1:15" x14ac:dyDescent="0.25">
      <c r="A23" s="390"/>
      <c r="B23" s="392"/>
      <c r="C23" s="23"/>
      <c r="D23" s="22"/>
      <c r="E23" s="25"/>
      <c r="F23" s="39"/>
      <c r="G23" s="25"/>
      <c r="H23" s="39"/>
      <c r="I23" s="25"/>
      <c r="J23" s="22"/>
      <c r="K23" s="25"/>
      <c r="L23" s="39"/>
      <c r="M23" s="25"/>
      <c r="N23" s="39"/>
      <c r="O23" s="25"/>
    </row>
    <row r="24" spans="1:15" x14ac:dyDescent="0.25">
      <c r="A24" s="389" t="s">
        <v>10</v>
      </c>
      <c r="B24" s="380"/>
      <c r="C24" s="6"/>
      <c r="D24" s="5"/>
      <c r="E24" s="10"/>
      <c r="F24" s="7"/>
      <c r="G24" s="10"/>
      <c r="H24" s="7"/>
      <c r="I24" s="10"/>
      <c r="J24" s="5"/>
      <c r="K24" s="10"/>
      <c r="L24" s="7"/>
      <c r="M24" s="10"/>
      <c r="N24" s="7"/>
      <c r="O24" s="10"/>
    </row>
    <row r="25" spans="1:15" x14ac:dyDescent="0.25">
      <c r="A25" s="390"/>
      <c r="B25" s="382"/>
      <c r="C25" s="23"/>
      <c r="D25" s="22"/>
      <c r="E25" s="25"/>
      <c r="F25" s="39"/>
      <c r="G25" s="25"/>
      <c r="H25" s="39"/>
      <c r="I25" s="25"/>
      <c r="J25" s="22"/>
      <c r="K25" s="25"/>
      <c r="L25" s="39"/>
      <c r="M25" s="25"/>
      <c r="N25" s="39"/>
      <c r="O25" s="25"/>
    </row>
    <row r="26" spans="1:15" x14ac:dyDescent="0.25">
      <c r="A26" s="389" t="s">
        <v>11</v>
      </c>
      <c r="B26" s="380"/>
      <c r="C26" s="6" t="s">
        <v>32</v>
      </c>
      <c r="D26" s="5"/>
      <c r="E26" s="10"/>
      <c r="F26" s="7"/>
      <c r="G26" s="10"/>
      <c r="H26" s="7"/>
      <c r="I26" s="10"/>
      <c r="J26" s="5"/>
      <c r="K26" s="10"/>
      <c r="L26" s="7"/>
      <c r="M26" s="10"/>
      <c r="N26" s="7"/>
      <c r="O26" s="10"/>
    </row>
    <row r="27" spans="1:15" x14ac:dyDescent="0.25">
      <c r="A27" s="393"/>
      <c r="B27" s="381"/>
      <c r="C27" s="6" t="s">
        <v>33</v>
      </c>
      <c r="D27" s="5"/>
      <c r="E27" s="10"/>
      <c r="F27" s="7"/>
      <c r="G27" s="10"/>
      <c r="H27" s="7"/>
      <c r="I27" s="10"/>
      <c r="J27" s="5"/>
      <c r="K27" s="10"/>
      <c r="L27" s="7"/>
      <c r="M27" s="10"/>
      <c r="N27" s="7"/>
      <c r="O27" s="10"/>
    </row>
    <row r="28" spans="1:15" x14ac:dyDescent="0.25">
      <c r="A28" s="393"/>
      <c r="B28" s="381"/>
      <c r="C28" s="6" t="s">
        <v>34</v>
      </c>
      <c r="D28" s="5"/>
      <c r="E28" s="10"/>
      <c r="F28" s="7"/>
      <c r="G28" s="10"/>
      <c r="H28" s="7"/>
      <c r="I28" s="10"/>
      <c r="J28" s="5"/>
      <c r="K28" s="10"/>
      <c r="L28" s="7"/>
      <c r="M28" s="10"/>
      <c r="N28" s="7"/>
      <c r="O28" s="10"/>
    </row>
    <row r="29" spans="1:15" x14ac:dyDescent="0.25">
      <c r="A29" s="393"/>
      <c r="B29" s="381"/>
      <c r="C29" s="6" t="s">
        <v>35</v>
      </c>
      <c r="D29" s="5"/>
      <c r="E29" s="10"/>
      <c r="F29" s="7"/>
      <c r="G29" s="10"/>
      <c r="H29" s="7"/>
      <c r="I29" s="10"/>
      <c r="J29" s="5"/>
      <c r="K29" s="10"/>
      <c r="L29" s="7"/>
      <c r="M29" s="10"/>
      <c r="N29" s="7"/>
      <c r="O29" s="10"/>
    </row>
    <row r="30" spans="1:15" x14ac:dyDescent="0.25">
      <c r="A30" s="393"/>
      <c r="B30" s="381"/>
      <c r="C30" s="6" t="s">
        <v>36</v>
      </c>
      <c r="D30" s="5"/>
      <c r="E30" s="10"/>
      <c r="F30" s="7"/>
      <c r="G30" s="10"/>
      <c r="H30" s="7"/>
      <c r="I30" s="10"/>
      <c r="J30" s="5"/>
      <c r="K30" s="10"/>
      <c r="L30" s="7"/>
      <c r="M30" s="10"/>
      <c r="N30" s="7"/>
      <c r="O30" s="10"/>
    </row>
    <row r="31" spans="1:15" x14ac:dyDescent="0.25">
      <c r="A31" s="393"/>
      <c r="B31" s="381"/>
      <c r="C31" s="6" t="s">
        <v>37</v>
      </c>
      <c r="D31" s="5"/>
      <c r="E31" s="10"/>
      <c r="F31" s="7"/>
      <c r="G31" s="10"/>
      <c r="H31" s="7"/>
      <c r="I31" s="10"/>
      <c r="J31" s="5"/>
      <c r="K31" s="10"/>
      <c r="L31" s="7"/>
      <c r="M31" s="10"/>
      <c r="N31" s="7"/>
      <c r="O31" s="10"/>
    </row>
    <row r="32" spans="1:15" x14ac:dyDescent="0.25">
      <c r="A32" s="393"/>
      <c r="B32" s="381"/>
      <c r="C32" s="6" t="s">
        <v>38</v>
      </c>
      <c r="D32" s="5"/>
      <c r="E32" s="10"/>
      <c r="F32" s="7"/>
      <c r="G32" s="10"/>
      <c r="H32" s="7"/>
      <c r="I32" s="10"/>
      <c r="J32" s="5"/>
      <c r="K32" s="10"/>
      <c r="L32" s="7"/>
      <c r="M32" s="10"/>
      <c r="N32" s="7"/>
      <c r="O32" s="10"/>
    </row>
    <row r="33" spans="1:15" x14ac:dyDescent="0.25">
      <c r="A33" s="393"/>
      <c r="B33" s="381"/>
      <c r="C33" s="6" t="s">
        <v>39</v>
      </c>
      <c r="D33" s="5"/>
      <c r="E33" s="10"/>
      <c r="F33" s="7"/>
      <c r="G33" s="10"/>
      <c r="H33" s="7"/>
      <c r="I33" s="10"/>
      <c r="J33" s="5"/>
      <c r="K33" s="10"/>
      <c r="L33" s="7"/>
      <c r="M33" s="10"/>
      <c r="N33" s="7"/>
      <c r="O33" s="10"/>
    </row>
    <row r="34" spans="1:15" x14ac:dyDescent="0.25">
      <c r="A34" s="390"/>
      <c r="B34" s="382"/>
      <c r="C34" s="23"/>
      <c r="D34" s="22"/>
      <c r="E34" s="25"/>
      <c r="F34" s="39"/>
      <c r="G34" s="25"/>
      <c r="H34" s="39"/>
      <c r="I34" s="25"/>
      <c r="J34" s="22"/>
      <c r="K34" s="25"/>
      <c r="L34" s="39"/>
      <c r="M34" s="25"/>
      <c r="N34" s="39"/>
      <c r="O34" s="25"/>
    </row>
    <row r="35" spans="1:15" x14ac:dyDescent="0.25">
      <c r="A35" s="383" t="s">
        <v>12</v>
      </c>
      <c r="B35" s="380"/>
      <c r="C35" s="6" t="s">
        <v>40</v>
      </c>
      <c r="D35" s="5"/>
      <c r="E35" s="10"/>
      <c r="F35" s="7"/>
      <c r="G35" s="10"/>
      <c r="H35" s="7"/>
      <c r="I35" s="10"/>
      <c r="J35" s="5"/>
      <c r="K35" s="10"/>
      <c r="L35" s="7"/>
      <c r="M35" s="10"/>
      <c r="N35" s="7"/>
      <c r="O35" s="10"/>
    </row>
    <row r="36" spans="1:15" x14ac:dyDescent="0.25">
      <c r="A36" s="385"/>
      <c r="B36" s="382"/>
      <c r="C36" s="23"/>
      <c r="D36" s="22"/>
      <c r="E36" s="25"/>
      <c r="F36" s="39"/>
      <c r="G36" s="25"/>
      <c r="H36" s="39"/>
      <c r="I36" s="25"/>
      <c r="J36" s="22"/>
      <c r="K36" s="25"/>
      <c r="L36" s="39"/>
      <c r="M36" s="25"/>
      <c r="N36" s="39"/>
      <c r="O36" s="25"/>
    </row>
    <row r="37" spans="1:15" ht="30" customHeight="1" x14ac:dyDescent="0.25">
      <c r="A37" s="383" t="s">
        <v>13</v>
      </c>
      <c r="B37" s="380"/>
      <c r="C37" s="18" t="s">
        <v>41</v>
      </c>
      <c r="D37" s="5"/>
      <c r="E37" s="10"/>
      <c r="F37" s="7"/>
      <c r="G37" s="10"/>
      <c r="H37" s="7"/>
      <c r="I37" s="10"/>
      <c r="J37" s="5"/>
      <c r="K37" s="10"/>
      <c r="L37" s="7"/>
      <c r="M37" s="10"/>
      <c r="N37" s="7"/>
      <c r="O37" s="10"/>
    </row>
    <row r="38" spans="1:15" x14ac:dyDescent="0.25">
      <c r="A38" s="384"/>
      <c r="B38" s="381"/>
      <c r="C38" s="6" t="s">
        <v>42</v>
      </c>
      <c r="D38" s="5"/>
      <c r="E38" s="10"/>
      <c r="F38" s="43"/>
      <c r="G38" s="9"/>
      <c r="H38" s="7"/>
      <c r="I38" s="10"/>
      <c r="J38" s="5"/>
      <c r="K38" s="10"/>
      <c r="L38" s="7"/>
      <c r="M38" s="10"/>
      <c r="N38" s="7"/>
      <c r="O38" s="10"/>
    </row>
    <row r="39" spans="1:15" x14ac:dyDescent="0.25">
      <c r="A39" s="385"/>
      <c r="B39" s="382"/>
      <c r="C39" s="23"/>
      <c r="D39" s="22"/>
      <c r="E39" s="25"/>
      <c r="F39" s="22"/>
      <c r="G39" s="25"/>
      <c r="H39" s="39"/>
      <c r="I39" s="25"/>
      <c r="J39" s="22"/>
      <c r="K39" s="25"/>
      <c r="L39" s="39"/>
      <c r="M39" s="25"/>
      <c r="N39" s="39"/>
      <c r="O39" s="25"/>
    </row>
    <row r="40" spans="1:15" x14ac:dyDescent="0.25">
      <c r="A40" s="389" t="s">
        <v>14</v>
      </c>
      <c r="B40" s="386"/>
      <c r="C40" s="6" t="s">
        <v>43</v>
      </c>
      <c r="D40" s="5"/>
      <c r="E40" s="10"/>
      <c r="F40" s="5"/>
      <c r="G40" s="10"/>
      <c r="H40" s="7"/>
      <c r="I40" s="10"/>
      <c r="J40" s="5"/>
      <c r="K40" s="10"/>
      <c r="L40" s="7"/>
      <c r="M40" s="10"/>
      <c r="N40" s="7"/>
      <c r="O40" s="10"/>
    </row>
    <row r="41" spans="1:15" x14ac:dyDescent="0.25">
      <c r="A41" s="390"/>
      <c r="B41" s="388"/>
      <c r="C41" s="23"/>
      <c r="D41" s="22"/>
      <c r="E41" s="25"/>
      <c r="F41" s="22"/>
      <c r="G41" s="25"/>
      <c r="H41" s="39"/>
      <c r="I41" s="25"/>
      <c r="J41" s="22"/>
      <c r="K41" s="25"/>
      <c r="L41" s="39"/>
      <c r="M41" s="25"/>
      <c r="N41" s="39"/>
      <c r="O41" s="25"/>
    </row>
    <row r="42" spans="1:15" x14ac:dyDescent="0.25">
      <c r="A42" s="383" t="s">
        <v>15</v>
      </c>
      <c r="B42" s="380"/>
      <c r="C42" s="6" t="s">
        <v>44</v>
      </c>
      <c r="D42" s="5"/>
      <c r="E42" s="10"/>
      <c r="F42" s="5"/>
      <c r="G42" s="10"/>
      <c r="H42" s="7"/>
      <c r="I42" s="10"/>
      <c r="J42" s="5"/>
      <c r="K42" s="10"/>
      <c r="L42" s="7"/>
      <c r="M42" s="10"/>
      <c r="N42" s="7"/>
      <c r="O42" s="10"/>
    </row>
    <row r="43" spans="1:15" x14ac:dyDescent="0.25">
      <c r="A43" s="385"/>
      <c r="B43" s="382"/>
      <c r="C43" s="23"/>
      <c r="D43" s="22"/>
      <c r="E43" s="25"/>
      <c r="F43" s="22"/>
      <c r="G43" s="25"/>
      <c r="H43" s="39"/>
      <c r="I43" s="25"/>
      <c r="J43" s="22"/>
      <c r="K43" s="25"/>
      <c r="L43" s="39"/>
      <c r="M43" s="25"/>
      <c r="N43" s="39"/>
      <c r="O43" s="25"/>
    </row>
    <row r="44" spans="1:15" ht="30.75" customHeight="1" x14ac:dyDescent="0.25">
      <c r="A44" s="383" t="s">
        <v>16</v>
      </c>
      <c r="B44" s="380"/>
      <c r="C44" s="18" t="s">
        <v>45</v>
      </c>
      <c r="D44" s="5"/>
      <c r="E44" s="10"/>
      <c r="F44" s="5"/>
      <c r="G44" s="10"/>
      <c r="H44" s="7"/>
      <c r="I44" s="10"/>
      <c r="J44" s="5"/>
      <c r="K44" s="10"/>
      <c r="L44" s="7"/>
      <c r="M44" s="10"/>
      <c r="N44" s="7"/>
      <c r="O44" s="10"/>
    </row>
    <row r="45" spans="1:15" x14ac:dyDescent="0.25">
      <c r="A45" s="385"/>
      <c r="B45" s="382"/>
      <c r="C45" s="23"/>
      <c r="D45" s="22"/>
      <c r="E45" s="25"/>
      <c r="F45" s="22"/>
      <c r="G45" s="25"/>
      <c r="H45" s="39"/>
      <c r="I45" s="25"/>
      <c r="J45" s="22"/>
      <c r="K45" s="25"/>
      <c r="L45" s="39"/>
      <c r="M45" s="25"/>
      <c r="N45" s="39"/>
      <c r="O45" s="25"/>
    </row>
    <row r="46" spans="1:15" ht="30" customHeight="1" x14ac:dyDescent="0.25">
      <c r="A46" s="383" t="s">
        <v>17</v>
      </c>
      <c r="B46" s="380"/>
      <c r="C46" s="19" t="s">
        <v>46</v>
      </c>
      <c r="D46" s="5"/>
      <c r="E46" s="10"/>
      <c r="F46" s="5"/>
      <c r="G46" s="10"/>
      <c r="H46" s="7"/>
      <c r="I46" s="10"/>
      <c r="J46" s="5"/>
      <c r="K46" s="10"/>
      <c r="L46" s="7"/>
      <c r="M46" s="10"/>
      <c r="N46" s="7"/>
      <c r="O46" s="10"/>
    </row>
    <row r="47" spans="1:15" x14ac:dyDescent="0.25">
      <c r="A47" s="385"/>
      <c r="B47" s="382"/>
      <c r="C47" s="23"/>
      <c r="D47" s="22"/>
      <c r="E47" s="25"/>
      <c r="F47" s="22"/>
      <c r="G47" s="25"/>
      <c r="H47" s="39"/>
      <c r="I47" s="25"/>
      <c r="J47" s="22"/>
      <c r="K47" s="25"/>
      <c r="L47" s="39"/>
      <c r="M47" s="25"/>
      <c r="N47" s="39"/>
      <c r="O47" s="25"/>
    </row>
    <row r="48" spans="1:15" x14ac:dyDescent="0.25">
      <c r="A48" s="383" t="s">
        <v>18</v>
      </c>
      <c r="B48" s="396"/>
      <c r="C48" s="6" t="s">
        <v>47</v>
      </c>
      <c r="D48" s="5"/>
      <c r="E48" s="10"/>
      <c r="F48" s="5"/>
      <c r="G48" s="10"/>
      <c r="H48" s="7"/>
      <c r="I48" s="10"/>
      <c r="J48" s="5"/>
      <c r="K48" s="10"/>
      <c r="L48" s="7"/>
      <c r="M48" s="10"/>
      <c r="N48" s="7"/>
      <c r="O48" s="10"/>
    </row>
    <row r="49" spans="1:16" x14ac:dyDescent="0.25">
      <c r="A49" s="385"/>
      <c r="B49" s="397"/>
      <c r="C49" s="23"/>
      <c r="D49" s="22"/>
      <c r="E49" s="25"/>
      <c r="F49" s="22"/>
      <c r="G49" s="25"/>
      <c r="H49" s="39"/>
      <c r="I49" s="25"/>
      <c r="J49" s="22"/>
      <c r="K49" s="25"/>
      <c r="L49" s="39"/>
      <c r="M49" s="25"/>
      <c r="N49" s="39"/>
      <c r="O49" s="25"/>
    </row>
    <row r="50" spans="1:16" x14ac:dyDescent="0.25">
      <c r="A50" s="383" t="s">
        <v>19</v>
      </c>
      <c r="B50" s="386"/>
      <c r="C50" s="10" t="s">
        <v>48</v>
      </c>
      <c r="D50" s="5"/>
      <c r="E50" s="10"/>
      <c r="F50" s="5"/>
      <c r="G50" s="10"/>
      <c r="H50" s="7"/>
      <c r="I50" s="10"/>
      <c r="J50" s="5"/>
      <c r="K50" s="10"/>
      <c r="L50" s="7"/>
      <c r="M50" s="10"/>
      <c r="N50" s="7"/>
      <c r="O50" s="10"/>
    </row>
    <row r="51" spans="1:16" x14ac:dyDescent="0.25">
      <c r="A51" s="384"/>
      <c r="B51" s="387"/>
      <c r="C51" s="10" t="s">
        <v>49</v>
      </c>
      <c r="D51" s="5"/>
      <c r="E51" s="10"/>
      <c r="F51" s="5"/>
      <c r="G51" s="10"/>
      <c r="H51" s="7"/>
      <c r="I51" s="10"/>
      <c r="J51" s="5"/>
      <c r="K51" s="10"/>
      <c r="L51" s="7"/>
      <c r="M51" s="10"/>
      <c r="N51" s="7"/>
      <c r="O51" s="10"/>
    </row>
    <row r="52" spans="1:16" x14ac:dyDescent="0.25">
      <c r="A52" s="384"/>
      <c r="B52" s="387"/>
      <c r="C52" s="10" t="s">
        <v>50</v>
      </c>
      <c r="D52" s="5"/>
      <c r="E52" s="10"/>
      <c r="F52" s="5"/>
      <c r="G52" s="10"/>
      <c r="H52" s="7"/>
      <c r="I52" s="10"/>
      <c r="J52" s="5"/>
      <c r="K52" s="10"/>
      <c r="L52" s="7"/>
      <c r="M52" s="10"/>
      <c r="N52" s="7"/>
      <c r="O52" s="10"/>
    </row>
    <row r="53" spans="1:16" x14ac:dyDescent="0.25">
      <c r="A53" s="385"/>
      <c r="B53" s="388"/>
      <c r="C53" s="25"/>
      <c r="D53" s="22"/>
      <c r="E53" s="25"/>
      <c r="F53" s="22"/>
      <c r="G53" s="25"/>
      <c r="H53" s="39"/>
      <c r="I53" s="25"/>
      <c r="J53" s="22"/>
      <c r="K53" s="25"/>
      <c r="L53" s="39"/>
      <c r="M53" s="25"/>
      <c r="N53" s="39"/>
      <c r="O53" s="25"/>
    </row>
    <row r="54" spans="1:16" ht="31.5" customHeight="1" x14ac:dyDescent="0.25">
      <c r="A54" s="398" t="s">
        <v>20</v>
      </c>
      <c r="B54" s="380"/>
      <c r="C54" s="28" t="s">
        <v>51</v>
      </c>
      <c r="D54" s="38"/>
      <c r="E54" s="52"/>
      <c r="F54" s="5"/>
      <c r="G54" s="10"/>
      <c r="H54" s="7"/>
      <c r="I54" s="10"/>
      <c r="J54" s="5"/>
      <c r="K54" s="10"/>
      <c r="L54" s="7"/>
      <c r="M54" s="10"/>
      <c r="N54" s="7"/>
      <c r="O54" s="10"/>
    </row>
    <row r="55" spans="1:16" x14ac:dyDescent="0.25">
      <c r="A55" s="399"/>
      <c r="B55" s="382"/>
      <c r="C55" s="23"/>
      <c r="D55" s="39"/>
      <c r="E55" s="47"/>
      <c r="F55" s="30"/>
      <c r="G55" s="29"/>
      <c r="H55" s="67"/>
      <c r="I55" s="47"/>
      <c r="J55" s="30"/>
      <c r="K55" s="47"/>
      <c r="L55" s="67"/>
      <c r="M55" s="47"/>
      <c r="N55" s="39"/>
      <c r="O55" s="47"/>
    </row>
    <row r="56" spans="1:16" x14ac:dyDescent="0.25">
      <c r="A56" s="383" t="s">
        <v>21</v>
      </c>
      <c r="B56" s="386"/>
      <c r="C56" s="20" t="s">
        <v>52</v>
      </c>
      <c r="D56" s="40"/>
      <c r="E56" s="48"/>
      <c r="F56" s="37"/>
      <c r="G56" s="36"/>
      <c r="H56" s="68"/>
      <c r="I56" s="48"/>
      <c r="J56" s="37"/>
      <c r="K56" s="48"/>
      <c r="L56" s="68"/>
      <c r="M56" s="48"/>
      <c r="N56" s="40"/>
      <c r="O56" s="70"/>
    </row>
    <row r="57" spans="1:16" ht="15.75" thickBot="1" x14ac:dyDescent="0.3">
      <c r="A57" s="395"/>
      <c r="B57" s="394"/>
      <c r="C57" s="33"/>
      <c r="D57" s="54"/>
      <c r="E57" s="35"/>
      <c r="F57" s="34"/>
      <c r="G57" s="33"/>
      <c r="H57" s="69"/>
      <c r="I57" s="53"/>
      <c r="J57" s="34"/>
      <c r="K57" s="53"/>
      <c r="L57" s="69"/>
      <c r="M57" s="33"/>
      <c r="N57" s="69"/>
      <c r="O57" s="35"/>
      <c r="P57" s="11"/>
    </row>
    <row r="58" spans="1:16" ht="15.75" thickBot="1" x14ac:dyDescent="0.3">
      <c r="A58" s="31"/>
      <c r="B58" s="12"/>
      <c r="C58" s="13"/>
      <c r="D58" s="32"/>
      <c r="E58" s="73"/>
      <c r="F58" s="32"/>
      <c r="G58" s="13"/>
      <c r="H58" s="32"/>
      <c r="I58" s="13"/>
      <c r="J58" s="32"/>
      <c r="K58" s="13"/>
      <c r="L58" s="32"/>
      <c r="M58" s="31"/>
      <c r="N58" s="71"/>
      <c r="O58" s="13"/>
    </row>
    <row r="59" spans="1:16" ht="15.75" thickBot="1" x14ac:dyDescent="0.3">
      <c r="A59" s="42" t="s">
        <v>22</v>
      </c>
      <c r="B59" s="41"/>
      <c r="C59" s="74"/>
      <c r="D59" s="72"/>
      <c r="E59" s="14"/>
      <c r="F59" s="72"/>
      <c r="G59" s="14"/>
      <c r="H59" s="72"/>
      <c r="I59" s="14"/>
      <c r="J59" s="72"/>
      <c r="K59" s="14"/>
      <c r="L59" s="72"/>
      <c r="M59" s="49"/>
      <c r="N59" s="71"/>
      <c r="O59" s="14"/>
    </row>
    <row r="60" spans="1:16" ht="45" customHeight="1" x14ac:dyDescent="0.25">
      <c r="B60" s="31"/>
      <c r="D60" s="2" t="s">
        <v>55</v>
      </c>
      <c r="E60" s="2" t="s">
        <v>56</v>
      </c>
      <c r="F60" s="2" t="s">
        <v>59</v>
      </c>
      <c r="G60" s="2" t="s">
        <v>74</v>
      </c>
      <c r="H60" s="2" t="s">
        <v>63</v>
      </c>
      <c r="I60" s="2" t="s">
        <v>60</v>
      </c>
      <c r="J60" s="2" t="s">
        <v>64</v>
      </c>
      <c r="K60" s="2" t="s">
        <v>65</v>
      </c>
      <c r="L60" s="2" t="s">
        <v>66</v>
      </c>
      <c r="M60" s="2" t="s">
        <v>67</v>
      </c>
      <c r="N60" s="2" t="s">
        <v>75</v>
      </c>
      <c r="O60" s="2" t="s">
        <v>75</v>
      </c>
    </row>
  </sheetData>
  <mergeCells count="38">
    <mergeCell ref="B56:B57"/>
    <mergeCell ref="A56:A57"/>
    <mergeCell ref="A48:A49"/>
    <mergeCell ref="B48:B49"/>
    <mergeCell ref="A50:A53"/>
    <mergeCell ref="B50:B53"/>
    <mergeCell ref="A54:A55"/>
    <mergeCell ref="B54:B55"/>
    <mergeCell ref="A42:A43"/>
    <mergeCell ref="B42:B43"/>
    <mergeCell ref="A44:A45"/>
    <mergeCell ref="B44:B45"/>
    <mergeCell ref="A46:A47"/>
    <mergeCell ref="B46:B47"/>
    <mergeCell ref="A35:A36"/>
    <mergeCell ref="B35:B36"/>
    <mergeCell ref="A37:A39"/>
    <mergeCell ref="B37:B39"/>
    <mergeCell ref="A40:A41"/>
    <mergeCell ref="B40:B41"/>
    <mergeCell ref="A20:A21"/>
    <mergeCell ref="B20:B21"/>
    <mergeCell ref="A22:A23"/>
    <mergeCell ref="B22:B23"/>
    <mergeCell ref="A26:A34"/>
    <mergeCell ref="B26:B34"/>
    <mergeCell ref="A24:A25"/>
    <mergeCell ref="B24:B25"/>
    <mergeCell ref="B3:B5"/>
    <mergeCell ref="A11:A16"/>
    <mergeCell ref="B11:B16"/>
    <mergeCell ref="A17:A19"/>
    <mergeCell ref="B17:B19"/>
    <mergeCell ref="A9:A10"/>
    <mergeCell ref="B9:B10"/>
    <mergeCell ref="A3:A5"/>
    <mergeCell ref="A6:A8"/>
    <mergeCell ref="B6:B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PM2 Red vs. Green B ext.</vt:lpstr>
      <vt:lpstr>Summary</vt:lpstr>
      <vt:lpstr>Qualitative Matrix - Draft Alts</vt:lpstr>
      <vt:lpstr>Quantity Impacts</vt:lpstr>
      <vt:lpstr>Proposed Rating Legend</vt:lpstr>
      <vt:lpstr>Tech WorkshopQualitative Matrix</vt:lpstr>
      <vt:lpstr>2nd PM - Quantativ - Final Alts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Harper, Kristen E</dc:creator>
  <cp:lastModifiedBy>Robertson, Josh R</cp:lastModifiedBy>
  <cp:lastPrinted>2019-01-28T18:45:11Z</cp:lastPrinted>
  <dcterms:created xsi:type="dcterms:W3CDTF">2017-07-31T19:38:32Z</dcterms:created>
  <dcterms:modified xsi:type="dcterms:W3CDTF">2019-08-01T21:47:19Z</dcterms:modified>
</cp:coreProperties>
</file>