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defaultThemeVersion="166925"/>
  <mc:AlternateContent xmlns:mc="http://schemas.openxmlformats.org/markup-compatibility/2006">
    <mc:Choice Requires="x15">
      <x15ac:absPath xmlns:x15ac="http://schemas.microsoft.com/office/spreadsheetml/2010/11/ac" url="c:\bmcd_lib\pw\trn\dms50497\"/>
    </mc:Choice>
  </mc:AlternateContent>
  <xr:revisionPtr revIDLastSave="0" documentId="13_ncr:1_{F9A1C69D-093D-4989-A594-5B3BBB4BE7C5}" xr6:coauthVersionLast="34" xr6:coauthVersionMax="34" xr10:uidLastSave="{00000000-0000-0000-0000-000000000000}"/>
  <bookViews>
    <workbookView xWindow="0" yWindow="0" windowWidth="19200" windowHeight="6825" firstSheet="1" activeTab="3" xr2:uid="{222D3B1D-C4FB-4FD1-8E7F-4BCBAE9F6BBB}"/>
  </bookViews>
  <sheets>
    <sheet name="3 Alignments" sheetId="7" state="hidden" r:id="rId1"/>
    <sheet name="Impacts" sheetId="8" r:id="rId2"/>
    <sheet name="Displacements" sheetId="9" r:id="rId3"/>
    <sheet name="Summary" sheetId="10" r:id="rId4"/>
    <sheet name="Qualitative Matrix - Draft Alts" sheetId="2" state="hidden" r:id="rId5"/>
    <sheet name="Quantity Impacts" sheetId="5" state="hidden" r:id="rId6"/>
    <sheet name="Proposed Rating Legend" sheetId="4" state="hidden" r:id="rId7"/>
    <sheet name="Tech WorkshopQualitative Matrix" sheetId="3" state="hidden" r:id="rId8"/>
    <sheet name="2nd PM - Quantativ - Final Alts" sheetId="1" state="hidden" r:id="rId9"/>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1" i="8" l="1"/>
  <c r="P55" i="8"/>
  <c r="P44" i="8"/>
  <c r="P22" i="8"/>
  <c r="C7" i="10"/>
  <c r="F10" i="10" l="1"/>
  <c r="F9" i="10"/>
  <c r="F8" i="10"/>
  <c r="F7" i="10"/>
  <c r="F6" i="10"/>
  <c r="E10" i="10"/>
  <c r="E9" i="10"/>
  <c r="E8" i="10"/>
  <c r="E7" i="10"/>
  <c r="E6" i="10"/>
  <c r="E26" i="10" s="1"/>
  <c r="F19" i="10"/>
  <c r="F18" i="10"/>
  <c r="F17" i="10"/>
  <c r="F16" i="10"/>
  <c r="F15" i="10"/>
  <c r="E19" i="10"/>
  <c r="E18" i="10"/>
  <c r="E17" i="10"/>
  <c r="E16" i="10"/>
  <c r="E15" i="10"/>
  <c r="E28" i="10" l="1"/>
  <c r="F28" i="10"/>
  <c r="F29" i="10"/>
  <c r="F27" i="10"/>
  <c r="F26" i="10"/>
  <c r="F30" i="10"/>
  <c r="E30" i="10"/>
  <c r="E29" i="10"/>
  <c r="E27" i="10"/>
  <c r="G19" i="10"/>
  <c r="G18" i="10"/>
  <c r="G16" i="10"/>
  <c r="G15" i="10"/>
  <c r="P33" i="8"/>
  <c r="G17" i="10" s="1"/>
  <c r="C15" i="10" l="1"/>
  <c r="D19" i="10" l="1"/>
  <c r="D18" i="10"/>
  <c r="D17" i="10"/>
  <c r="D16" i="10"/>
  <c r="D15" i="10"/>
  <c r="D26" i="10" s="1"/>
  <c r="H26" i="10" s="1"/>
  <c r="C19" i="10"/>
  <c r="C18" i="10"/>
  <c r="C17" i="10"/>
  <c r="C16" i="10"/>
  <c r="C27" i="10" s="1"/>
  <c r="G27" i="10" s="1"/>
  <c r="D10" i="10"/>
  <c r="D9" i="10"/>
  <c r="D6" i="10"/>
  <c r="D7" i="10"/>
  <c r="D8" i="10"/>
  <c r="C8" i="10"/>
  <c r="C6" i="10"/>
  <c r="C26" i="10" s="1"/>
  <c r="G26" i="10" s="1"/>
  <c r="C10" i="10"/>
  <c r="C9" i="10"/>
  <c r="E59" i="9"/>
  <c r="E58" i="9"/>
  <c r="E60" i="9" s="1"/>
  <c r="E57" i="9"/>
  <c r="E56" i="9"/>
  <c r="E48" i="9"/>
  <c r="E47" i="9"/>
  <c r="E46" i="9"/>
  <c r="E45" i="9"/>
  <c r="E49" i="9" s="1"/>
  <c r="E37" i="9"/>
  <c r="E36" i="9"/>
  <c r="E35" i="9"/>
  <c r="E34" i="9"/>
  <c r="E38" i="9" s="1"/>
  <c r="E26" i="9"/>
  <c r="E25" i="9"/>
  <c r="E27" i="9" s="1"/>
  <c r="E24" i="9"/>
  <c r="E23" i="9"/>
  <c r="E15" i="9"/>
  <c r="E16" i="9" s="1"/>
  <c r="E14" i="9"/>
  <c r="E13" i="9"/>
  <c r="E12" i="9"/>
  <c r="E59" i="8"/>
  <c r="E58" i="8"/>
  <c r="E57" i="8"/>
  <c r="E56" i="8"/>
  <c r="D29" i="10" l="1"/>
  <c r="H29" i="10" s="1"/>
  <c r="C30" i="10"/>
  <c r="G30" i="10" s="1"/>
  <c r="C28" i="10"/>
  <c r="G28" i="10" s="1"/>
  <c r="D30" i="10"/>
  <c r="H30" i="10" s="1"/>
  <c r="D27" i="10"/>
  <c r="H27" i="10" s="1"/>
  <c r="C29" i="10"/>
  <c r="G29" i="10" s="1"/>
  <c r="D28" i="10"/>
  <c r="H28" i="10" s="1"/>
  <c r="M50" i="9"/>
  <c r="E60" i="8"/>
  <c r="E12" i="8"/>
  <c r="E23" i="8"/>
  <c r="E34" i="8"/>
  <c r="E45" i="8"/>
  <c r="E48" i="8"/>
  <c r="E47" i="8"/>
  <c r="E46" i="8"/>
  <c r="E37" i="8"/>
  <c r="E36" i="8"/>
  <c r="E35" i="8"/>
  <c r="E26" i="8"/>
  <c r="E25" i="8"/>
  <c r="E24" i="8"/>
  <c r="E15" i="8"/>
  <c r="E14" i="8"/>
  <c r="E13" i="8"/>
  <c r="J28" i="9" l="1"/>
  <c r="J50" i="9"/>
  <c r="J61" i="9"/>
  <c r="J39" i="9"/>
  <c r="J17" i="9"/>
  <c r="M61" i="9"/>
  <c r="M39" i="9"/>
  <c r="M17" i="9"/>
  <c r="M28" i="9"/>
  <c r="G50" i="9"/>
  <c r="G39" i="9"/>
  <c r="G61" i="9"/>
  <c r="G28" i="9"/>
  <c r="G17" i="9"/>
  <c r="E38" i="8"/>
  <c r="E49" i="8"/>
  <c r="E16" i="8"/>
  <c r="E27" i="8"/>
  <c r="M30" i="7"/>
  <c r="M20" i="7"/>
  <c r="M10" i="7"/>
  <c r="J39" i="8" l="1"/>
  <c r="C28" i="9"/>
  <c r="C61" i="9"/>
  <c r="C39" i="9"/>
  <c r="C17" i="9"/>
  <c r="C50" i="9"/>
  <c r="E17" i="9"/>
  <c r="E39" i="9"/>
  <c r="E61" i="9"/>
  <c r="E50" i="9"/>
  <c r="E28" i="9"/>
  <c r="J50" i="8"/>
  <c r="J61" i="8"/>
  <c r="G61" i="8"/>
  <c r="G17" i="8"/>
  <c r="C17" i="8"/>
  <c r="G50" i="8"/>
  <c r="J28" i="8"/>
  <c r="J17" i="8"/>
  <c r="G28" i="8"/>
  <c r="G39" i="8"/>
  <c r="R36" i="7"/>
  <c r="R33" i="7" s="1"/>
  <c r="Q33" i="7"/>
  <c r="E33" i="7"/>
  <c r="E32" i="7"/>
  <c r="E31" i="7"/>
  <c r="E30" i="7"/>
  <c r="R29" i="7"/>
  <c r="Q29" i="7" s="1"/>
  <c r="R28" i="7" s="1"/>
  <c r="Q26" i="7"/>
  <c r="R23" i="7"/>
  <c r="Q22" i="7" s="1"/>
  <c r="E23" i="7"/>
  <c r="E22" i="7"/>
  <c r="E21" i="7"/>
  <c r="Q20" i="7"/>
  <c r="E20" i="7"/>
  <c r="R17" i="7"/>
  <c r="Q17" i="7" s="1"/>
  <c r="R16" i="7" s="1"/>
  <c r="Q14" i="7"/>
  <c r="E13" i="7"/>
  <c r="E12" i="7"/>
  <c r="E11" i="7"/>
  <c r="E10" i="7"/>
  <c r="C50" i="8" l="1"/>
  <c r="C61" i="8"/>
  <c r="M61" i="8"/>
  <c r="C28" i="8"/>
  <c r="C39" i="8"/>
  <c r="M50" i="8"/>
  <c r="M17" i="8"/>
  <c r="M39" i="8"/>
  <c r="M28" i="8"/>
  <c r="Q35" i="7"/>
  <c r="Q36" i="7"/>
  <c r="R34" i="7" s="1"/>
  <c r="R15" i="7"/>
  <c r="R14" i="7"/>
  <c r="Q23" i="7"/>
  <c r="R22" i="7" s="1"/>
  <c r="R20" i="7"/>
  <c r="E34" i="7"/>
  <c r="E24" i="7"/>
  <c r="R26" i="7"/>
  <c r="Q27" i="7" s="1"/>
  <c r="E14" i="7"/>
  <c r="Q28" i="7"/>
  <c r="Q34" i="7"/>
  <c r="Q16" i="7"/>
  <c r="R21" i="7"/>
  <c r="R27" i="7"/>
  <c r="E61" i="8" l="1"/>
  <c r="E50" i="8"/>
  <c r="E28" i="8"/>
  <c r="E17" i="8"/>
  <c r="E39" i="8"/>
  <c r="Q15" i="7"/>
  <c r="G15" i="7"/>
  <c r="R35" i="7"/>
  <c r="G35" i="7"/>
  <c r="J25" i="7"/>
  <c r="G25" i="7"/>
  <c r="J35" i="7"/>
  <c r="J15" i="7"/>
  <c r="Q21" i="7"/>
  <c r="R11" i="7"/>
  <c r="Q11" i="7" s="1"/>
  <c r="R10" i="7" s="1"/>
  <c r="Q8" i="7"/>
  <c r="M15" i="7"/>
  <c r="M25" i="7"/>
  <c r="M35" i="7"/>
  <c r="E40" i="5"/>
  <c r="E41" i="5"/>
  <c r="E42" i="5"/>
  <c r="E43" i="5"/>
  <c r="R8" i="7" l="1"/>
  <c r="Q9" i="7" s="1"/>
  <c r="Q10" i="7"/>
  <c r="R9" i="7"/>
  <c r="E44" i="5"/>
  <c r="U36" i="5"/>
  <c r="T33" i="5"/>
  <c r="T36" i="5" l="1"/>
  <c r="U34" i="5" s="1"/>
  <c r="U33" i="5"/>
  <c r="E35" i="7"/>
  <c r="E15" i="7"/>
  <c r="E25" i="7"/>
  <c r="T34" i="5"/>
  <c r="T35" i="5"/>
  <c r="H24" i="2"/>
  <c r="J24" i="2"/>
  <c r="L24" i="2"/>
  <c r="N24" i="2"/>
  <c r="P24" i="2"/>
  <c r="P55" i="5" l="1"/>
  <c r="K9" i="2" s="1"/>
  <c r="U35" i="5"/>
  <c r="U29" i="5"/>
  <c r="P35" i="5" l="1"/>
  <c r="Q9" i="2" s="1"/>
  <c r="P25" i="5"/>
  <c r="O9" i="2" s="1"/>
  <c r="P15" i="5"/>
  <c r="M9" i="2" s="1"/>
  <c r="P45" i="5"/>
  <c r="I9" i="2" s="1"/>
  <c r="Q13" i="2"/>
  <c r="Q11" i="2"/>
  <c r="O13" i="2"/>
  <c r="O11" i="2"/>
  <c r="M13" i="2"/>
  <c r="M11" i="2"/>
  <c r="K13" i="2"/>
  <c r="K11" i="2"/>
  <c r="I13" i="2"/>
  <c r="I11" i="2"/>
  <c r="G15" i="2"/>
  <c r="G14" i="2"/>
  <c r="G12" i="2"/>
  <c r="G10" i="2"/>
  <c r="G24" i="2" l="1"/>
  <c r="G25" i="2" s="1"/>
  <c r="G26" i="2" s="1"/>
  <c r="G27" i="2" s="1"/>
  <c r="R24" i="2"/>
  <c r="T26" i="5" l="1"/>
  <c r="U26" i="5"/>
  <c r="U23" i="5"/>
  <c r="U20" i="5" s="1"/>
  <c r="U17" i="5"/>
  <c r="T17" i="5" s="1"/>
  <c r="U16" i="5" s="1"/>
  <c r="T20" i="5"/>
  <c r="T14" i="5"/>
  <c r="E53" i="5"/>
  <c r="E52" i="5"/>
  <c r="E51" i="5"/>
  <c r="E50" i="5"/>
  <c r="E33" i="5"/>
  <c r="E32" i="5"/>
  <c r="E31" i="5"/>
  <c r="E30" i="5"/>
  <c r="E23" i="5"/>
  <c r="E22" i="5"/>
  <c r="E21" i="5"/>
  <c r="E20" i="5"/>
  <c r="E11" i="5"/>
  <c r="E12" i="5"/>
  <c r="E13" i="5"/>
  <c r="E10" i="5"/>
  <c r="T16" i="5" l="1"/>
  <c r="U14" i="5"/>
  <c r="E24" i="5"/>
  <c r="T27" i="5"/>
  <c r="T21" i="5"/>
  <c r="U27" i="5"/>
  <c r="M45" i="5" s="1"/>
  <c r="T28" i="5"/>
  <c r="T29" i="5"/>
  <c r="U28" i="5" s="1"/>
  <c r="U21" i="5"/>
  <c r="T22" i="5"/>
  <c r="T23" i="5"/>
  <c r="U22" i="5" s="1"/>
  <c r="U15" i="5"/>
  <c r="E54" i="5"/>
  <c r="E34" i="5"/>
  <c r="E14" i="5"/>
  <c r="B11" i="4"/>
  <c r="G45" i="5" l="1"/>
  <c r="I10" i="2" s="1"/>
  <c r="J45" i="5"/>
  <c r="G25" i="5"/>
  <c r="O10" i="2" s="1"/>
  <c r="M55" i="5"/>
  <c r="K14" i="2" s="1"/>
  <c r="J15" i="5"/>
  <c r="M12" i="2" s="1"/>
  <c r="T8" i="5"/>
  <c r="U11" i="5"/>
  <c r="U8" i="5" s="1"/>
  <c r="J25" i="5"/>
  <c r="O12" i="2" s="1"/>
  <c r="M25" i="5"/>
  <c r="O14" i="2" s="1"/>
  <c r="I14" i="2"/>
  <c r="G35" i="5"/>
  <c r="Q10" i="2" s="1"/>
  <c r="G15" i="5"/>
  <c r="M10" i="2" s="1"/>
  <c r="G55" i="5"/>
  <c r="K10" i="2" s="1"/>
  <c r="M35" i="5"/>
  <c r="Q14" i="2" s="1"/>
  <c r="M15" i="5"/>
  <c r="M14" i="2" s="1"/>
  <c r="J55" i="5"/>
  <c r="K12" i="2" s="1"/>
  <c r="J35" i="5"/>
  <c r="Q12" i="2" s="1"/>
  <c r="I12" i="2"/>
  <c r="T15" i="5"/>
  <c r="B12" i="4"/>
  <c r="B10" i="4"/>
  <c r="B9" i="4"/>
  <c r="B8" i="4"/>
  <c r="B7" i="4"/>
  <c r="C6" i="4"/>
  <c r="B6" i="4"/>
  <c r="B5" i="4"/>
  <c r="B4" i="4"/>
  <c r="U9" i="5" l="1"/>
  <c r="T11" i="5"/>
  <c r="U10" i="5" s="1"/>
  <c r="T10" i="5"/>
  <c r="T15" i="3"/>
  <c r="S15" i="3"/>
  <c r="R15" i="3"/>
  <c r="Q15" i="3"/>
  <c r="P15" i="3"/>
  <c r="O15" i="3"/>
  <c r="N15" i="3"/>
  <c r="M15" i="3"/>
  <c r="L15" i="3"/>
  <c r="K15" i="3"/>
  <c r="J15" i="3"/>
  <c r="I15" i="3"/>
  <c r="H15" i="3"/>
  <c r="F15" i="3"/>
  <c r="D15" i="3"/>
  <c r="C15" i="3"/>
  <c r="T9" i="5" l="1"/>
  <c r="E45" i="5"/>
  <c r="I15" i="2" s="1"/>
  <c r="E55" i="5"/>
  <c r="K15" i="2" s="1"/>
  <c r="E15" i="5"/>
  <c r="M15" i="2" s="1"/>
  <c r="E35" i="5"/>
  <c r="Q15" i="2" s="1"/>
  <c r="Q24" i="2" s="1"/>
  <c r="Q25" i="2" s="1"/>
  <c r="Q26" i="2" s="1"/>
  <c r="Q27" i="2" s="1"/>
  <c r="E25" i="5"/>
  <c r="O15" i="2" s="1"/>
  <c r="O24" i="2" l="1"/>
  <c r="O25" i="2" s="1"/>
  <c r="O26" i="2" s="1"/>
  <c r="O27" i="2" s="1"/>
  <c r="I24" i="2"/>
  <c r="I25" i="2" s="1"/>
  <c r="I26" i="2" s="1"/>
  <c r="I27" i="2" s="1"/>
  <c r="M24" i="2"/>
  <c r="M25" i="2" s="1"/>
  <c r="M26" i="2" s="1"/>
  <c r="M27" i="2" s="1"/>
  <c r="K24" i="2"/>
  <c r="K25" i="2" s="1"/>
  <c r="K26" i="2" s="1"/>
  <c r="K27" i="2" s="1"/>
  <c r="F24" i="2"/>
  <c r="F18" i="2" s="1"/>
</calcChain>
</file>

<file path=xl/sharedStrings.xml><?xml version="1.0" encoding="utf-8"?>
<sst xmlns="http://schemas.openxmlformats.org/spreadsheetml/2006/main" count="937" uniqueCount="339">
  <si>
    <t>Evaluation Category</t>
  </si>
  <si>
    <t>Category Weighting (total 100%) REVISED AND UPDATED</t>
  </si>
  <si>
    <t>Description</t>
  </si>
  <si>
    <t>Potential Displacements</t>
  </si>
  <si>
    <t>Socioeconomic Impacts</t>
  </si>
  <si>
    <t>Economic Viability and Potential Economic Influence</t>
  </si>
  <si>
    <t>Existing and Future Residential and Commercial Areas</t>
  </si>
  <si>
    <t>ROW Costs</t>
  </si>
  <si>
    <t xml:space="preserve"> Utilities</t>
  </si>
  <si>
    <t>Construction Costs</t>
  </si>
  <si>
    <t>Public Input</t>
  </si>
  <si>
    <t>Land Use</t>
  </si>
  <si>
    <t>Traffic LOS Improvement</t>
  </si>
  <si>
    <t>Wetlands / Waters of the U.S.</t>
  </si>
  <si>
    <t>Wildlife Habitat</t>
  </si>
  <si>
    <t>Floodplains</t>
  </si>
  <si>
    <t>State or Federally Listed Threatened or Endangered Species</t>
  </si>
  <si>
    <t>Historic and Archaeological Assests</t>
  </si>
  <si>
    <t>Cemeteries</t>
  </si>
  <si>
    <t>Hazardous Waste Sites</t>
  </si>
  <si>
    <t>Other Environmentally Sensitive Sites</t>
  </si>
  <si>
    <t>Approximate Cost</t>
  </si>
  <si>
    <t>Total Score</t>
  </si>
  <si>
    <t>Impacts/potential displacements for commercial/retail facility/eating establishment properties</t>
  </si>
  <si>
    <t>Impacts/potential displacements for single family residential properties</t>
  </si>
  <si>
    <t>Impacts/potential displacements for public facility property</t>
  </si>
  <si>
    <t>Impacts/potential displacements for hazmat materials site of concern properties</t>
  </si>
  <si>
    <t>Total potential displacements</t>
  </si>
  <si>
    <t>Approximate acres of ROW to be constructed as currently designed</t>
  </si>
  <si>
    <t>Estimated ROW Cost (Including Impacts, Damages, and Displacements)</t>
  </si>
  <si>
    <t>Overall social and economic impacts</t>
  </si>
  <si>
    <t>Impacts to utilities within proposed ROW limits</t>
  </si>
  <si>
    <t>Commercial/ Retail Facility/Eating Establishment</t>
  </si>
  <si>
    <t>Single Family Residential</t>
  </si>
  <si>
    <t>Public Facility</t>
  </si>
  <si>
    <t>Place of Worship</t>
  </si>
  <si>
    <t>Educational Facility</t>
  </si>
  <si>
    <t>Hazardous Materials Site of Concern</t>
  </si>
  <si>
    <t>Vacant Land</t>
  </si>
  <si>
    <t>Total Properties Affected</t>
  </si>
  <si>
    <t>Overall Level of Service</t>
  </si>
  <si>
    <t>Number of delineated welands within proposed ROW for any of the alternatives</t>
  </si>
  <si>
    <t>Impacts to Freshwater Ponds</t>
  </si>
  <si>
    <t xml:space="preserve">Potential impact due to proposed ROW </t>
  </si>
  <si>
    <t>Floodplain crossings</t>
  </si>
  <si>
    <t>Potential impacts to state or federally listed threatened or endangered species</t>
  </si>
  <si>
    <t>Historical or archaelological sites impacted by alternative</t>
  </si>
  <si>
    <t xml:space="preserve">Existing cemeteries within the project limits </t>
  </si>
  <si>
    <t>UST (Underground Storage Tank) sites identified</t>
  </si>
  <si>
    <t>AST (Above-ground Storage Tank) sites identified</t>
  </si>
  <si>
    <t>Hazardous materials concerns for project</t>
  </si>
  <si>
    <t xml:space="preserve">Other environmentally sensitive sites within the project limits </t>
  </si>
  <si>
    <t>Prelimiary Estimate of Probable Construction Costs</t>
  </si>
  <si>
    <t>Alternative 1 - East</t>
  </si>
  <si>
    <t>Alternative 1 - West</t>
  </si>
  <si>
    <t xml:space="preserve"> Alternative on Existing US 380 EAST of I-75</t>
  </si>
  <si>
    <t xml:space="preserve"> Alternative on Existing US 380 WEST of I-75</t>
  </si>
  <si>
    <t>Alternative 2 - East</t>
  </si>
  <si>
    <t>Alternative 2 - West</t>
  </si>
  <si>
    <t>Existing US 380 Alignment  + Spur 399 Alternative EAST of I-75</t>
  </si>
  <si>
    <t>Wilson's Creek Alternative WEST of I-75</t>
  </si>
  <si>
    <t>Alternative 3 - West</t>
  </si>
  <si>
    <t>Alternative 3 - East</t>
  </si>
  <si>
    <t>Wilson's Creek Alternative EAST of I-75</t>
  </si>
  <si>
    <t>Bloomdale East Alternative EAST of I-75</t>
  </si>
  <si>
    <t>Bloomdale East Alternative WEST of I-75</t>
  </si>
  <si>
    <t>Bloomdale West Alternative EAST of I-75</t>
  </si>
  <si>
    <t>Bloomdale West Alternative WEST of I-75</t>
  </si>
  <si>
    <t>Alternative 5 - West</t>
  </si>
  <si>
    <t>Alternative 5 -  East</t>
  </si>
  <si>
    <t>Alternative 4 -  West</t>
  </si>
  <si>
    <t>Alternative 4 - East</t>
  </si>
  <si>
    <t>Alternative 6 - East</t>
  </si>
  <si>
    <t>Alternative 6 - West</t>
  </si>
  <si>
    <t>Existing US 380 Alignment  + Spur 399  Alternative WEST of I-75</t>
  </si>
  <si>
    <t>Frontier Pkwy Alternative EAST of I-75</t>
  </si>
  <si>
    <t>Enhances Regional Mobility</t>
  </si>
  <si>
    <t>Enhances Safety</t>
  </si>
  <si>
    <t>Alternative 2</t>
  </si>
  <si>
    <t>Alternative 3</t>
  </si>
  <si>
    <t>Alternative 6</t>
  </si>
  <si>
    <t>Alternative 1</t>
  </si>
  <si>
    <t>Alt 1 description (HIDE when printing)</t>
  </si>
  <si>
    <t>Alt 6 description (HIDE when printing)</t>
  </si>
  <si>
    <t>Alt 5 description (HIDE when printing)</t>
  </si>
  <si>
    <t>Alt 4 description (HIDE when printing)</t>
  </si>
  <si>
    <t>Alt 3 description (HIDE when printing)</t>
  </si>
  <si>
    <t>Alt 2 description (HIDE when printing)</t>
  </si>
  <si>
    <t xml:space="preserve">Satisfies Travel Demand </t>
  </si>
  <si>
    <t xml:space="preserve">Does not achieve criteria </t>
  </si>
  <si>
    <t>No Build</t>
  </si>
  <si>
    <t xml:space="preserve">Partially meets criteria </t>
  </si>
  <si>
    <t>Bloomdale East Alignment</t>
  </si>
  <si>
    <t>Bloomdale West Alignment</t>
  </si>
  <si>
    <t>Frontier Pkwy Alignment</t>
  </si>
  <si>
    <t>Criteria Rating Scale</t>
  </si>
  <si>
    <t>US 380 Draft Alternatives Evaluation Matrix</t>
  </si>
  <si>
    <t>Minimizes Construction Cost</t>
  </si>
  <si>
    <t>Highly meets criteria</t>
  </si>
  <si>
    <t>Combined residential impacts with future development impacts. Combined business relocations with business development. Combined environmental and parkland impacts.</t>
  </si>
  <si>
    <t>Slight positive; allows more space for businesses and doesn't impact any.</t>
  </si>
  <si>
    <t>Impacts almost no businesses.</t>
  </si>
  <si>
    <t>No-Build description (HIDE when printing)</t>
  </si>
  <si>
    <t>Minimizes Corridor Business Effects</t>
  </si>
  <si>
    <t>Category Weighting</t>
  </si>
  <si>
    <t>Provides no additional future benefit to region</t>
  </si>
  <si>
    <t>Currently underserves traffic demand. Will only get worse</t>
  </si>
  <si>
    <t xml:space="preserve">Current roadway raises some safety concerns </t>
  </si>
  <si>
    <t>No build would only incur maintenance cost</t>
  </si>
  <si>
    <t xml:space="preserve">No build would not displace residenses </t>
  </si>
  <si>
    <t xml:space="preserve">Category Explanation </t>
  </si>
  <si>
    <t>32.3miles   @908936825.001238   Rank2</t>
  </si>
  <si>
    <t>31.59miles   @866391280.265983   Rank1</t>
  </si>
  <si>
    <t>33.61miles   @1022137140.25754   Rank3</t>
  </si>
  <si>
    <t>35.46miles   @1132046501.31066   Rank5</t>
  </si>
  <si>
    <t>46.73miles   @1305384128.31066   Rank7</t>
  </si>
  <si>
    <t>35.42miles   @1166024997.69999   Rank6</t>
  </si>
  <si>
    <t>46.44miles   @1328173942.69999   Rank8</t>
  </si>
  <si>
    <t>41.47miles   @1090073974.88238   Rank4</t>
  </si>
  <si>
    <t>Stakeholder and Public Support</t>
  </si>
  <si>
    <t>Supports Future Regional Economic Growth</t>
  </si>
  <si>
    <t>Alignment location has the ability to increase safety with respect to: adequate control of access for existing businesses, grade separations, divided roadways with barrier, enhance regional safety by providing safer route.</t>
  </si>
  <si>
    <t>Minimizes negative effects on public parkland and myriad of other environmental concerns. Results not fully tablated yet.</t>
  </si>
  <si>
    <t>Combined item: balancing how the alternative affects CORRIDOR business. Put mathematically: (likely to create new business near the alignment) minus (required business relocations). Results not fully tablated yet.</t>
  </si>
  <si>
    <t>Contributes to land-use patterns which will encourage development. (This one may take some research. What does NCTCOG see as the best means of doing this? Will development continue as it has, with one-mile-square nodes of light commercial and 6-10 mile square corridors of heavier commercial, with mostly single-family residential as filler? That’s pretty much North Dallas Metro over the past 20 years. Do we see our new highway as the next PGBT?)</t>
  </si>
  <si>
    <t>Think TDM attractiveness. This category rewards alternatives that generate high traffic volumes indicating optimal roadway placement  which would lead to a decrease in regional delay and improvement in LOS. I.E. decrease in regional congestion.</t>
  </si>
  <si>
    <t>Spacing and (nodes) interchange configuation/ proximity are a consideration in this catagory's score.</t>
  </si>
  <si>
    <t xml:space="preserve"> Has the capacity – both on segments and at nodes (that means taking a good look at our interchanges and connections too!) – to serve the traffic anticipated for the region.  Reduces the landlocked areas. Improves the ability of Collin County residents to reach a wide variety of regional employment centers, and (eventually) improves the ability of regional residents to reach a wide variety of Collin County employment centers. </t>
  </si>
  <si>
    <t>Evaluation Status</t>
  </si>
  <si>
    <t xml:space="preserve">Provides regional connectivity in a geographical configuation that provides superior mobility between current freeways and major roadways? Reduces the landlocked areas. Improves the ability of Collin County residents to reach a wide variety of regional employment centers, and (eventually) improves the ability of regional residents to reach a wide variety of Collin County employment centers. </t>
  </si>
  <si>
    <t>Completed Initial Assessment</t>
  </si>
  <si>
    <t>Minimizes Environmental and Park Land Impacts</t>
  </si>
  <si>
    <t>Assessment Ongoing</t>
  </si>
  <si>
    <t>???</t>
  </si>
  <si>
    <t>Based on ranking of initial cost estimate by lanes warranted y traffic volume and segment lengths. We DON’T want toshow cost in $$$ at this time. Cost estimate not thoroughly reviewed.</t>
  </si>
  <si>
    <t>Locally, current and future land use patterns are centered around US 380, Perryman report bolsters this argument</t>
  </si>
  <si>
    <t xml:space="preserve">Existing corridor improvements would have to contend with potential access control issues along FR with existing businesses </t>
  </si>
  <si>
    <t xml:space="preserve"> Segment of US 380 west of US 75 has highest volume of all alts, shows need for add'l capacity here</t>
  </si>
  <si>
    <t>Offers high degree of mobility options east of US 75 and West of US 75</t>
  </si>
  <si>
    <t>North loop provides alternative route around downtown Mckinney. No significant regional change in regional options.</t>
  </si>
  <si>
    <t xml:space="preserve">Mobility is increased by providing route where existing homes and businsess reside. </t>
  </si>
  <si>
    <t>Wilson creek cutoff provides motorist with new connections around fully devloped area. Spur 399 gives motorist additional options and links up SRT.</t>
  </si>
  <si>
    <t xml:space="preserve">Potential fatal flaws with Wilson Creek being 4F. Reduces much of McKinney's Park space </t>
  </si>
  <si>
    <t xml:space="preserve"> Freeway discontinuity may be issue. Mobility is increased by providing route where existing homes and businsess reside. Spur 399 gives motorist additional options and links up SRT.</t>
  </si>
  <si>
    <t xml:space="preserve">Volumes east and west of US 75 not as high as Alt 1. </t>
  </si>
  <si>
    <t>Frontier parkway alignment may compete with the outer loop for traffic</t>
  </si>
  <si>
    <t>Reduces demand on US 380. Appears to show an unmet demand,  but unsure bc close to Outer Loop</t>
  </si>
  <si>
    <t>Demand much lower than Alt 5 (Bloomdale west)</t>
  </si>
  <si>
    <t>Demand is high on north bypass that ties in near Custer</t>
  </si>
  <si>
    <t>New alignment would not have to contend with many COA issues like existing corridor</t>
  </si>
  <si>
    <t>Not very compatible with current future land use plans. US 380 throughout Prosper and Frisco would be hurt</t>
  </si>
  <si>
    <t>Very compatible with current future land use plans. And bypasses existing business on US 380 near 75 where they would be most affected</t>
  </si>
  <si>
    <t xml:space="preserve"> compatible with current future land use plans, but traffic volumes split between ex 380 and bypass doesn’t fully promote new growth</t>
  </si>
  <si>
    <t>Wilson creek segment does not provide for commercial corridor. Spur 399 is nearly the same</t>
  </si>
  <si>
    <t xml:space="preserve"> compatible with current future land use plans and potential for growth along developed corridor</t>
  </si>
  <si>
    <t>Some residences on US 380 east of US 75 have potential of displacement</t>
  </si>
  <si>
    <t>Some potential future displacements, but timing of corridor preservation could minimize</t>
  </si>
  <si>
    <t>Minimizes residential displacements and disruptions of existing or planned neighborhoods.  Results not fully tablated yet. REVIEW ONCE ARCMAP UP!!!!</t>
  </si>
  <si>
    <t>Minimal impact on park land</t>
  </si>
  <si>
    <t xml:space="preserve">No impact </t>
  </si>
  <si>
    <t>Some impact on park land with Spur 399 proximity to Heard Museum</t>
  </si>
  <si>
    <t>Would cause some business displacements along corridor, but many parcel remainder can house new development</t>
  </si>
  <si>
    <t>Impacts few businesses.</t>
  </si>
  <si>
    <t xml:space="preserve">Criteria Evaluation Status </t>
  </si>
  <si>
    <t>?</t>
  </si>
  <si>
    <t xml:space="preserve">Minimizes Construction Cost </t>
  </si>
  <si>
    <t>Preliminary Category Weighting</t>
  </si>
  <si>
    <t xml:space="preserve">Along Existing US 380 </t>
  </si>
  <si>
    <t xml:space="preserve">Along Existing US 380 + Spur 399 extension </t>
  </si>
  <si>
    <t xml:space="preserve">Wilson Creek Alignment + Spur 399 extension </t>
  </si>
  <si>
    <t xml:space="preserve">Supports Travel Demand </t>
  </si>
  <si>
    <t>Enhances Safety/Meets Design Standards</t>
  </si>
  <si>
    <t>Alternative 4A</t>
  </si>
  <si>
    <t xml:space="preserve">Bloomdale East Alignment + Spur 399 extension </t>
  </si>
  <si>
    <t>Alternative 4B</t>
  </si>
  <si>
    <t>Alternative 5A</t>
  </si>
  <si>
    <t>Alternative 5B</t>
  </si>
  <si>
    <t xml:space="preserve">Bloomdale West Alignment + Spur 399 extension </t>
  </si>
  <si>
    <t xml:space="preserve">Provides regional connectivity in a geographical configuation. Reduces the landlocked areas. Improves the ability of Collin County residents to reach a wide variety of regional employment centers, and (eventually) improves the ability of regional residents to reach a wide variety of Collin County employment centers. </t>
  </si>
  <si>
    <t xml:space="preserve">Contributes to land-use patterns which will encourage development. (This one may take some research. How will the region's economy grow in the future? What does NCTCOG see as the best means of doing this? Are existing trends likely to continue, or is a different model more likely?) </t>
  </si>
  <si>
    <t xml:space="preserve">Minimizes residential displacements and disruptions of existing or planned neighborhoods.  </t>
  </si>
  <si>
    <t xml:space="preserve">Minimizes negative effects on public parkland and on other areas of environmental concern. </t>
  </si>
  <si>
    <t xml:space="preserve">Combined item: balancing how the alternative affects CORRIDOR business. Put mathematically: (likely to create new business near the alignment) minus (required business relocations). </t>
  </si>
  <si>
    <t>What do the municipalities think of the corridor? What is the likely or established public view of the alternative?</t>
  </si>
  <si>
    <t>Provides no additional capacity.</t>
  </si>
  <si>
    <t>Scoring Method</t>
  </si>
  <si>
    <t>Overall average 2.0 or less.</t>
  </si>
  <si>
    <t>Between 2.0 and 4.0</t>
  </si>
  <si>
    <t>Between 4.0 and 6.0</t>
  </si>
  <si>
    <t>Between 6.0 and 8.0</t>
  </si>
  <si>
    <t>8.0 or greater.</t>
  </si>
  <si>
    <t>The lowest-cost corridor.</t>
  </si>
  <si>
    <t>All corridors more than 20% below the median, except for…</t>
  </si>
  <si>
    <t>All other high-cost corridors which are more than 20% above the median.</t>
  </si>
  <si>
    <t xml:space="preserve">Based on ranking of initial cost estimate by lanes warranted by traffic volume and segment lengths. </t>
  </si>
  <si>
    <t>Use the most recent Technical Workshop evaluations (September 2017); develop a weighted average.</t>
  </si>
  <si>
    <t>High Score Is…</t>
  </si>
  <si>
    <t>Good</t>
  </si>
  <si>
    <t>Bad</t>
  </si>
  <si>
    <t xml:space="preserve">The lowest-impact corridor, plus any within 10% or so. </t>
  </si>
  <si>
    <t>The highest-impact corridor, plus any within 10% or so.</t>
  </si>
  <si>
    <t>All corridors within 20% of the median.</t>
  </si>
  <si>
    <t>The highest-impact corridor, plus any within 25% or so.</t>
  </si>
  <si>
    <t>All corridors within 20% of the median, unless the median is close to or within the "highest-impact" band.</t>
  </si>
  <si>
    <t>Start with 5 points. Subtract 0.5 point for each displacement of a business employing at least 10 (i.e. other than small retail shops). Add 0.5 points for existing commercial areas adjacent to new interchanges. Add 0.5 points for each new local interchange featuring at least 2 quadrants of open land.</t>
  </si>
  <si>
    <t>Potential Scoring Rubric</t>
  </si>
  <si>
    <t>Notes</t>
  </si>
  <si>
    <t>A bell curve will not be applicable if all scores are relatively close.</t>
  </si>
  <si>
    <t>All scores within 20% of the minimum.</t>
  </si>
  <si>
    <t>Scores 20%-30% over the minimum.</t>
  </si>
  <si>
    <t>Scores 30-40% over the minimum.</t>
  </si>
  <si>
    <t>Scores 40%-50% over the minimum.</t>
  </si>
  <si>
    <t>Assume 50 mph along the alignment unless we are certain of no congestion.
ALTERNATIVE (points are bad): One point equals one mile for the following: Distance along alignment between DNT and US 75 + US 75 and Hunt County line + US 380 / US 75 to the US 75 / SRT interchange.
Add one point for each signalized intersection.</t>
  </si>
  <si>
    <t>One point equals one minute: 
1) Travel time from the intersection of exist US 380 / Custer to US 380 / DNT
2) Travel time from the intersection of US 380 / Custer to US 75 / SRT
3) Travel time from the intersection of US 380 / Custer to US 380 / 4th Street (Princeton)
4) Travel time from the intersection of US 380 / 4th Street to US 75 / SRT</t>
  </si>
  <si>
    <t>ALTERNATIVE: Score 1.0 points for each mile which lies within NCTCOG "hot spots" of future travel demand. Deduct 0.5 point for each mile of surface street likely to experience congestion based on the location of the corridor.</t>
  </si>
  <si>
    <t>For each of the five study area sections defined in the Work Session Summary, assign 10 points to the corridor with the highest volume. Assign, to the nearest whole number, a proportional number of points to the other corridors. 50 points are theoretically possible.</t>
  </si>
  <si>
    <t>All scores within 10% of the maximum.</t>
  </si>
  <si>
    <t>Scores 10%-20% below the maximum.</t>
  </si>
  <si>
    <t>Scores 20%-30% below the maximum.</t>
  </si>
  <si>
    <t>Provides additional capacity but scores more than 30% below the maximum.</t>
  </si>
  <si>
    <t>1) 1.0 points for each mile of alignment within/along known centers of concentrated economic activity (US 380 at DNT, US 380 at US 75, Collin County Airport). 
2) 1.0 points for each mile of alignment within/along planned or potential centers of concentrated economic activity.
(Single-family residential development is not considered "concentrated" for this evaluation.)</t>
  </si>
  <si>
    <t>All scores within 20% of the maximum.</t>
  </si>
  <si>
    <t>Scores 20-40% below the maximum.</t>
  </si>
  <si>
    <t>Scores 40%-60% below the maximum.</t>
  </si>
  <si>
    <t xml:space="preserve">Assume 0 is an LAR built to ideal typical section (350'-400' ROW). Add 1 point for each substantial section using less than 70 mph design speed or narrowed typical section. Add 2 points for each interchange likely to require design exceptions. Add 4 points for each mainline traffic signal. </t>
  </si>
  <si>
    <t>0-2.</t>
  </si>
  <si>
    <t>0-3 ratings will depend on what scores are developed.</t>
  </si>
  <si>
    <t xml:space="preserve"> Has the ability – both on segments and at nodes – to serve the traffic anticipated for the region.</t>
  </si>
  <si>
    <t>Use the most recent cost estimates for each corridor.</t>
  </si>
  <si>
    <t>More impacts = higher score = poor rating. 1 point for each household displacement (e.g. 10 pts for removal of 10-unit apt building). Add points for significant impact to routes of primary residential access (somewhat subjective).</t>
  </si>
  <si>
    <t>3 points for each acre, or portion thereof, of park impact. 0.5 point for each acre of floodway impact. 1 point for each "sensitive use" parcel impact (e.g. schools). 1 point for cultural resource impacts.</t>
  </si>
  <si>
    <t>Optimizes Local Business Effects</t>
  </si>
  <si>
    <t>Measurements</t>
  </si>
  <si>
    <t>Objective</t>
  </si>
  <si>
    <t>Scores 60% or more below the maximum.</t>
  </si>
  <si>
    <t xml:space="preserve">Do not use. </t>
  </si>
  <si>
    <t>Probably only the No-Build meets this definitiion.</t>
  </si>
  <si>
    <t>Use only with discretion.</t>
  </si>
  <si>
    <t xml:space="preserve">Minimizes business displacements and disruptions of existing or planned businesses.  </t>
  </si>
  <si>
    <t>More impacts = higher score = poor rating. 1 point for each business. Add points for significant impact to routes of primary business access (somewhat subjective).</t>
  </si>
  <si>
    <t>Minimizes Current Residential Impacts</t>
  </si>
  <si>
    <t>Minimizes Current Business Impacts</t>
  </si>
  <si>
    <t>Environmental and Park Impacts</t>
  </si>
  <si>
    <t>Business Impacts</t>
  </si>
  <si>
    <t>Future Developmet Impacts</t>
  </si>
  <si>
    <t>Current Resident Impacts</t>
  </si>
  <si>
    <t>Current Business Impacts</t>
  </si>
  <si>
    <t>Parkland</t>
  </si>
  <si>
    <t>Acres</t>
  </si>
  <si>
    <t>COE</t>
  </si>
  <si>
    <t>Floodplain</t>
  </si>
  <si>
    <t>Floodway</t>
  </si>
  <si>
    <t>Each</t>
  </si>
  <si>
    <t>Variable</t>
  </si>
  <si>
    <t>Weighted</t>
  </si>
  <si>
    <t>Total</t>
  </si>
  <si>
    <t>Matrix Values</t>
  </si>
  <si>
    <t>Residential Impacts</t>
  </si>
  <si>
    <t>Enviro and Park Impacts</t>
  </si>
  <si>
    <t>Future Development Impacts</t>
  </si>
  <si>
    <t>15% of max value</t>
  </si>
  <si>
    <t>15% decrease of max value</t>
  </si>
  <si>
    <t>No build would not impact currently permitted developments</t>
  </si>
  <si>
    <t>Minimizes negative effects on public parkland and myriad of other environmental concerns. Results not fully tabulated yet.</t>
  </si>
  <si>
    <t>Combined item: balancing how the alternative affects CORRIDOR business. Put mathematically: (likely to create new business near the alignment) minus (required business relocations). Results not fully tabulated yet.</t>
  </si>
  <si>
    <t xml:space="preserve">Mobility is increased by providing route where existing homes and businesses reside. </t>
  </si>
  <si>
    <t xml:space="preserve"> Freeway discontinuity may be issue. Mobility is increased by providing route where existing homes and businesses reside. Spur 399 gives motorist additional options and links up SRT.</t>
  </si>
  <si>
    <t>Wilson creek cutoff provides motorist with new connections around fully developed area. Spur 399 gives motorist additional options and links up SRT.</t>
  </si>
  <si>
    <t xml:space="preserve">Provides regional connectivity in a geographical configuration that provides superior mobility between current freeways and major roadways? Reduces the landlocked areas. Improves the ability of Collin County residents to reach a wide variety of regional employment centers, and (eventually) improves the ability of regional residents to reach a wide variety of Collin County employment centers. </t>
  </si>
  <si>
    <t>Spacing and (nodes) interchange configuration/ proximity are a consideration in this category's score.</t>
  </si>
  <si>
    <t xml:space="preserve">No build would not displace residences </t>
  </si>
  <si>
    <t>Minimizes displacements and disruptions of future development.  Results not fully tabulated yet.</t>
  </si>
  <si>
    <t>Minimizes business displacements and disruptions of existing businesses.  Results not fully tabulated yet.</t>
  </si>
  <si>
    <t xml:space="preserve">Minimizes residential displacements and disruptions of existing neighborhoods.  Results not fully tabulated yet. </t>
  </si>
  <si>
    <t xml:space="preserve">The amount of current impacts to residence. Results not fully tabulated yet. </t>
  </si>
  <si>
    <t xml:space="preserve">The amount of current impacts to businesses. Results not fully tabulated yet. </t>
  </si>
  <si>
    <t>US 380 North Shift Alignment</t>
  </si>
  <si>
    <t>US 380 South Shift Alignment</t>
  </si>
  <si>
    <t xml:space="preserve">US 380 Bypass 1 </t>
  </si>
  <si>
    <t>US 380 Bypass 2</t>
  </si>
  <si>
    <t>US 380 Bypass 3</t>
  </si>
  <si>
    <t>TBD</t>
  </si>
  <si>
    <t>Green Alignment</t>
  </si>
  <si>
    <t>Pink Alignment</t>
  </si>
  <si>
    <t>Blue Alignment</t>
  </si>
  <si>
    <t>Red Alignment</t>
  </si>
  <si>
    <t>Yellow Alignment</t>
  </si>
  <si>
    <t xml:space="preserve">Based on ranking of initial cost estimate by lanes warranted y traffic volume and segment lengths. We DON’T want to show cost in $$$ at this time. </t>
  </si>
  <si>
    <t>$</t>
  </si>
  <si>
    <t>90% of max value</t>
  </si>
  <si>
    <t>Max Value</t>
  </si>
  <si>
    <t>80% of max value</t>
  </si>
  <si>
    <t>North - Green</t>
  </si>
  <si>
    <t>South - Pink</t>
  </si>
  <si>
    <t>Bypass 1 - Blue</t>
  </si>
  <si>
    <t>Bypass 2 - Red</t>
  </si>
  <si>
    <t>Bypass 3 - Yellow</t>
  </si>
  <si>
    <t>Blue</t>
  </si>
  <si>
    <t>White</t>
  </si>
  <si>
    <t>Number of Current Residential Displacements</t>
  </si>
  <si>
    <t>Minimizes Current Residential Displacements</t>
  </si>
  <si>
    <t>Minimizes Current Business Displacements</t>
  </si>
  <si>
    <t>Number of Current Business Displacements</t>
  </si>
  <si>
    <t>Previously Studied Bypass</t>
  </si>
  <si>
    <t>ROW</t>
  </si>
  <si>
    <t>Farmersville Red Alignment</t>
  </si>
  <si>
    <t>Famersville Yellow Alignment</t>
  </si>
  <si>
    <t>BMcD Bypass Alignment</t>
  </si>
  <si>
    <t>Environmental and Park Displacements</t>
  </si>
  <si>
    <t>Current Resident Displacements</t>
  </si>
  <si>
    <t>Current Business Displacements</t>
  </si>
  <si>
    <t>Future Development Displacements</t>
  </si>
  <si>
    <t xml:space="preserve"> Original Red Alignment</t>
  </si>
  <si>
    <t xml:space="preserve"> Original Yellow Alignment</t>
  </si>
  <si>
    <t>NOTES:</t>
  </si>
  <si>
    <t>1) Bypass options are located completely outside of the Farmerville city limits, therefore all of those impacted are NOT Farmersville residents</t>
  </si>
  <si>
    <t xml:space="preserve">2) Farmersville Yellow Bypass goes through one of the 100 year properties </t>
  </si>
  <si>
    <t>3) BMcD Bypass cuts across property on east side do to widened ROW at Outer Loop. Easy shift down will fix. Not counting as displacement</t>
  </si>
  <si>
    <t>4) Farmersville Red Bypass and Original Red Alignment pass through CORE property</t>
  </si>
  <si>
    <t>5) Original Red Alignment passes through one of the 100 year properties</t>
  </si>
  <si>
    <t>6) Original Yellow Alignment passes through 3 of the 100 year properties</t>
  </si>
  <si>
    <t>Displacements</t>
  </si>
  <si>
    <t>Original Red</t>
  </si>
  <si>
    <t>Original Yellow</t>
  </si>
  <si>
    <t>Residents</t>
  </si>
  <si>
    <t>Business</t>
  </si>
  <si>
    <t>Impacts</t>
  </si>
  <si>
    <t>Modified Farmersville Red</t>
  </si>
  <si>
    <t>Orange (recommended)</t>
  </si>
  <si>
    <t>COE Impacts</t>
  </si>
  <si>
    <t>Acre</t>
  </si>
  <si>
    <t>Modified Farmersville Yellow</t>
  </si>
  <si>
    <t>Total Impacts ( Displacements + Impacts)</t>
  </si>
  <si>
    <t>RR to County Line</t>
  </si>
  <si>
    <t>Lake Lavon to RR</t>
  </si>
  <si>
    <t>Lake Lavon to RR crossing</t>
  </si>
  <si>
    <t>RR crossing to County line</t>
  </si>
  <si>
    <t>TOTAL</t>
  </si>
  <si>
    <t>Farmersville Bypass Route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</si>
</sst>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54">
    <font>
      <sz val="11"/>
      <color theme="1"/>
      <name val="Calibri"/>
      <family val="2"/>
      <scheme val="minor"/>
    </font>
    <font>
      <b/>
      <sz val="11"/>
      <color theme="1"/>
      <name val="Calibri"/>
      <family val="2"/>
      <scheme val="minor"/>
    </font>
    <font>
      <sz val="11"/>
      <color rgb="FF3F3F76"/>
      <name val="Calibri"/>
      <family val="2"/>
      <scheme val="minor"/>
    </font>
    <font>
      <sz val="36"/>
      <color theme="4"/>
      <name val="Harvey Balls"/>
      <family val="3"/>
    </font>
    <font>
      <b/>
      <sz val="16"/>
      <color theme="1"/>
      <name val="Calibri"/>
      <family val="2"/>
      <scheme val="minor"/>
    </font>
    <font>
      <sz val="16"/>
      <color theme="1"/>
      <name val="Calibri"/>
      <family val="2"/>
      <scheme val="minor"/>
    </font>
    <font>
      <sz val="11"/>
      <color theme="8"/>
      <name val="Calibri"/>
      <family val="2"/>
      <scheme val="minor"/>
    </font>
    <font>
      <sz val="36"/>
      <color theme="1"/>
      <name val="Calibri"/>
      <family val="2"/>
      <scheme val="minor"/>
    </font>
    <font>
      <sz val="36"/>
      <color theme="1"/>
      <name val="Harvey Balls"/>
      <family val="3"/>
    </font>
    <font>
      <b/>
      <sz val="20"/>
      <color theme="1"/>
      <name val="Calibri"/>
      <family val="2"/>
      <scheme val="minor"/>
    </font>
    <font>
      <sz val="16"/>
      <color rgb="FF3F3F76"/>
      <name val="Calibri"/>
      <family val="2"/>
      <scheme val="minor"/>
    </font>
    <font>
      <sz val="11"/>
      <color theme="1"/>
      <name val="Calibri"/>
      <family val="2"/>
      <scheme val="minor"/>
    </font>
    <font>
      <sz val="48"/>
      <color theme="1"/>
      <name val="Harvey Balls"/>
      <family val="3"/>
    </font>
    <font>
      <sz val="11"/>
      <color theme="5"/>
      <name val="Calibri"/>
      <family val="2"/>
      <scheme val="minor"/>
    </font>
    <font>
      <b/>
      <sz val="18"/>
      <color theme="1"/>
      <name val="Calibri"/>
      <family val="2"/>
      <scheme val="minor"/>
    </font>
    <font>
      <b/>
      <sz val="22"/>
      <color theme="1"/>
      <name val="Calibri"/>
      <family val="2"/>
      <scheme val="minor"/>
    </font>
    <font>
      <sz val="11"/>
      <color rgb="FF9C0006"/>
      <name val="Calibri"/>
      <family val="2"/>
      <scheme val="minor"/>
    </font>
    <font>
      <sz val="18"/>
      <color theme="1"/>
      <name val="Calibri"/>
      <family val="2"/>
      <scheme val="minor"/>
    </font>
    <font>
      <sz val="20"/>
      <color theme="1"/>
      <name val="Calibri"/>
      <family val="2"/>
      <scheme val="minor"/>
    </font>
    <font>
      <sz val="11"/>
      <color theme="1"/>
      <name val="Calibri"/>
      <family val="2"/>
      <scheme val="minor"/>
    </font>
    <font>
      <sz val="36"/>
      <color theme="1"/>
      <name val="Calibri"/>
      <family val="2"/>
      <scheme val="minor"/>
    </font>
    <font>
      <b/>
      <sz val="11"/>
      <color theme="1"/>
      <name val="Calibri"/>
      <family val="2"/>
      <scheme val="minor"/>
    </font>
    <font>
      <sz val="16"/>
      <color theme="1"/>
      <name val="Calibri"/>
      <family val="2"/>
      <scheme val="minor"/>
    </font>
    <font>
      <sz val="16"/>
      <color theme="1"/>
      <name val="Franklin Gothic Book"/>
      <family val="2"/>
    </font>
    <font>
      <b/>
      <sz val="16"/>
      <color theme="1"/>
      <name val="Franklin Gothic Book"/>
      <family val="2"/>
    </font>
    <font>
      <sz val="11"/>
      <color rgb="FF3F3F76"/>
      <name val="Calibri"/>
      <family val="2"/>
      <scheme val="minor"/>
    </font>
    <font>
      <b/>
      <sz val="16"/>
      <color theme="1"/>
      <name val="Calibri"/>
      <family val="2"/>
      <scheme val="minor"/>
    </font>
    <font>
      <b/>
      <sz val="14"/>
      <color theme="1"/>
      <name val="Franklin Gothic Book"/>
      <family val="2"/>
    </font>
    <font>
      <b/>
      <sz val="12"/>
      <color theme="1"/>
      <name val="Franklin Gothic Book"/>
      <family val="2"/>
    </font>
    <font>
      <sz val="14"/>
      <color rgb="FF3F3F76"/>
      <name val="Franklin Gothic Book"/>
      <family val="2"/>
    </font>
    <font>
      <b/>
      <sz val="22"/>
      <color theme="1"/>
      <name val="Calibri"/>
      <family val="2"/>
      <scheme val="minor"/>
    </font>
    <font>
      <sz val="18"/>
      <color theme="1"/>
      <name val="Calibri"/>
      <family val="2"/>
      <scheme val="minor"/>
    </font>
    <font>
      <sz val="36"/>
      <color rgb="FF0F385A"/>
      <name val="Harvey Balls"/>
      <family val="3"/>
    </font>
    <font>
      <sz val="11"/>
      <color rgb="FF0F385A"/>
      <name val="Calibri"/>
      <family val="2"/>
      <scheme val="minor"/>
    </font>
    <font>
      <sz val="11"/>
      <color theme="8"/>
      <name val="Calibri"/>
      <family val="2"/>
      <scheme val="minor"/>
    </font>
    <font>
      <sz val="11"/>
      <color rgb="FF9C0006"/>
      <name val="Calibri"/>
      <family val="2"/>
      <scheme val="minor"/>
    </font>
    <font>
      <sz val="36"/>
      <color rgb="FFCC7B29"/>
      <name val="Harvey Balls"/>
      <family val="3"/>
    </font>
    <font>
      <sz val="11"/>
      <color rgb="FFCC7B29"/>
      <name val="Calibri"/>
      <family val="2"/>
      <scheme val="minor"/>
    </font>
    <font>
      <sz val="11"/>
      <color theme="5"/>
      <name val="Calibri"/>
      <family val="2"/>
      <scheme val="minor"/>
    </font>
    <font>
      <sz val="20"/>
      <color theme="1"/>
      <name val="Calibri"/>
      <family val="2"/>
      <scheme val="minor"/>
    </font>
    <font>
      <sz val="36"/>
      <color theme="5"/>
      <name val="Harvey Balls"/>
      <family val="3"/>
    </font>
    <font>
      <b/>
      <sz val="20"/>
      <color theme="1"/>
      <name val="Calibri"/>
      <family val="2"/>
      <scheme val="minor"/>
    </font>
    <font>
      <sz val="36"/>
      <color theme="1"/>
      <name val="Harvey Balls"/>
      <family val="3"/>
    </font>
    <font>
      <sz val="36"/>
      <color theme="8"/>
      <name val="Harvey Balls"/>
      <family val="3"/>
    </font>
    <font>
      <sz val="48"/>
      <color theme="1"/>
      <name val="Harvey Balls"/>
      <family val="3"/>
    </font>
    <font>
      <b/>
      <u/>
      <sz val="11"/>
      <color theme="1"/>
      <name val="Calibri"/>
      <family val="2"/>
      <scheme val="minor"/>
    </font>
    <font>
      <sz val="14"/>
      <color theme="1"/>
      <name val="Calibri"/>
      <family val="2"/>
      <scheme val="minor"/>
    </font>
    <font>
      <sz val="11"/>
      <color theme="1"/>
      <name val="Arial Narrow"/>
      <family val="2"/>
    </font>
    <font>
      <b/>
      <u/>
      <sz val="18"/>
      <color theme="1"/>
      <name val="Calibri"/>
      <family val="2"/>
      <scheme val="minor"/>
    </font>
    <font>
      <sz val="11"/>
      <color theme="4"/>
      <name val="Calibri"/>
      <family val="2"/>
      <scheme val="minor"/>
    </font>
    <font>
      <b/>
      <sz val="14"/>
      <color theme="1"/>
      <name val="Calibri"/>
      <family val="2"/>
      <scheme val="minor"/>
    </font>
    <font>
      <sz val="36"/>
      <color theme="1"/>
      <name val="Gotham Black"/>
      <family val="3"/>
    </font>
    <font>
      <sz val="11"/>
      <color theme="0"/>
      <name val="Calibri"/>
      <family val="2"/>
      <scheme val="minor"/>
    </font>
    <font>
      <sz val="11"/>
      <name val="Calibri"/>
      <family val="2"/>
      <scheme val="minor"/>
    </font>
  </fonts>
  <fills count="20">
    <fill>
      <patternFill patternType="none"/>
    </fill>
    <fill>
      <patternFill patternType="gray125"/>
    </fill>
    <fill>
      <patternFill patternType="solid">
        <fgColor theme="8" tint="0.59999389629810485"/>
        <bgColor indexed="64"/>
      </patternFill>
    </fill>
    <fill>
      <patternFill patternType="solid">
        <fgColor theme="0" tint="-0.249977111117893"/>
        <bgColor indexed="64"/>
      </patternFill>
    </fill>
    <fill>
      <patternFill patternType="solid">
        <fgColor rgb="FFFFFF99"/>
        <bgColor indexed="64"/>
      </patternFill>
    </fill>
    <fill>
      <patternFill patternType="solid">
        <fgColor theme="6" tint="0.39997558519241921"/>
        <bgColor indexed="64"/>
      </patternFill>
    </fill>
    <fill>
      <patternFill patternType="solid">
        <fgColor rgb="FFFFCC99"/>
      </patternFill>
    </fill>
    <fill>
      <patternFill patternType="solid">
        <fgColor theme="8"/>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C7CE"/>
      </patternFill>
    </fill>
    <fill>
      <patternFill patternType="solid">
        <fgColor rgb="FFECEDED"/>
        <bgColor indexed="64"/>
      </patternFill>
    </fill>
    <fill>
      <patternFill patternType="solid">
        <fgColor theme="9" tint="0.79998168889431442"/>
        <bgColor indexed="64"/>
      </patternFill>
    </fill>
    <fill>
      <patternFill patternType="solid">
        <fgColor theme="4"/>
        <bgColor indexed="64"/>
      </patternFill>
    </fill>
    <fill>
      <patternFill patternType="solid">
        <fgColor rgb="FF00B050"/>
        <bgColor indexed="64"/>
      </patternFill>
    </fill>
    <fill>
      <patternFill patternType="solid">
        <fgColor rgb="FFFF0000"/>
        <bgColor indexed="64"/>
      </patternFill>
    </fill>
    <fill>
      <patternFill patternType="solid">
        <fgColor rgb="FFFF66FF"/>
        <bgColor indexed="64"/>
      </patternFill>
    </fill>
    <fill>
      <patternFill patternType="solid">
        <fgColor theme="0"/>
        <bgColor indexed="64"/>
      </patternFill>
    </fill>
    <fill>
      <patternFill patternType="solid">
        <fgColor rgb="FF7030A0"/>
        <bgColor indexed="64"/>
      </patternFill>
    </fill>
    <fill>
      <patternFill patternType="solid">
        <fgColor rgb="FFFFC000"/>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rgb="FF7F7F7F"/>
      </top>
      <bottom style="thin">
        <color rgb="FF7F7F7F"/>
      </bottom>
      <diagonal/>
    </border>
    <border>
      <left/>
      <right/>
      <top style="thin">
        <color rgb="FF7F7F7F"/>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double">
        <color auto="1"/>
      </bottom>
      <diagonal/>
    </border>
    <border>
      <left style="medium">
        <color indexed="64"/>
      </left>
      <right style="medium">
        <color indexed="64"/>
      </right>
      <top style="thin">
        <color indexed="64"/>
      </top>
      <bottom style="medium">
        <color indexed="64"/>
      </bottom>
      <diagonal/>
    </border>
    <border>
      <left/>
      <right/>
      <top/>
      <bottom style="double">
        <color auto="1"/>
      </bottom>
      <diagonal/>
    </border>
    <border>
      <left/>
      <right/>
      <top style="double">
        <color auto="1"/>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auto="1"/>
      </left>
      <right style="medium">
        <color indexed="64"/>
      </right>
      <top/>
      <bottom style="thin">
        <color indexed="64"/>
      </bottom>
      <diagonal/>
    </border>
    <border>
      <left/>
      <right style="thin">
        <color indexed="64"/>
      </right>
      <top/>
      <bottom style="medium">
        <color indexed="64"/>
      </bottom>
      <diagonal/>
    </border>
  </borders>
  <cellStyleXfs count="5">
    <xf numFmtId="0" fontId="0" fillId="0" borderId="0"/>
    <xf numFmtId="0" fontId="2" fillId="6" borderId="45" applyNumberFormat="0" applyAlignment="0" applyProtection="0"/>
    <xf numFmtId="9" fontId="11" fillId="0" borderId="0" applyFont="0" applyFill="0" applyBorder="0" applyAlignment="0" applyProtection="0"/>
    <xf numFmtId="0" fontId="16" fillId="10" borderId="0" applyNumberFormat="0" applyBorder="0" applyAlignment="0" applyProtection="0"/>
    <xf numFmtId="44" fontId="11" fillId="0" borderId="0" applyFont="0" applyFill="0" applyBorder="0" applyAlignment="0" applyProtection="0"/>
  </cellStyleXfs>
  <cellXfs count="396">
    <xf numFmtId="0" fontId="0" fillId="0" borderId="0" xfId="0"/>
    <xf numFmtId="0" fontId="0" fillId="0" borderId="0" xfId="0" applyAlignment="1">
      <alignment wrapText="1"/>
    </xf>
    <xf numFmtId="0" fontId="0" fillId="0" borderId="0" xfId="0" applyAlignment="1">
      <alignment horizontal="center" vertical="center" wrapText="1"/>
    </xf>
    <xf numFmtId="0" fontId="1" fillId="0" borderId="1" xfId="0" applyFont="1" applyBorder="1"/>
    <xf numFmtId="0" fontId="1" fillId="2" borderId="1" xfId="0" applyFont="1" applyFill="1" applyBorder="1" applyAlignment="1">
      <alignment horizontal="center" vertical="center" wrapText="1"/>
    </xf>
    <xf numFmtId="0" fontId="0" fillId="0" borderId="6" xfId="0" applyBorder="1"/>
    <xf numFmtId="0" fontId="0" fillId="0" borderId="7" xfId="0" applyBorder="1"/>
    <xf numFmtId="0" fontId="0" fillId="0" borderId="8" xfId="0" applyBorder="1"/>
    <xf numFmtId="0" fontId="1" fillId="0" borderId="5" xfId="0" applyFont="1" applyBorder="1"/>
    <xf numFmtId="0" fontId="0" fillId="0" borderId="9" xfId="0" applyBorder="1"/>
    <xf numFmtId="0" fontId="0" fillId="0" borderId="11" xfId="0" applyBorder="1"/>
    <xf numFmtId="0" fontId="0" fillId="0" borderId="15" xfId="0" applyBorder="1"/>
    <xf numFmtId="0" fontId="0" fillId="0" borderId="3" xfId="0" applyBorder="1"/>
    <xf numFmtId="0" fontId="0" fillId="0" borderId="16" xfId="0" applyBorder="1"/>
    <xf numFmtId="0" fontId="0" fillId="0" borderId="19" xfId="0" applyBorder="1"/>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0" fillId="0" borderId="7" xfId="0" applyBorder="1" applyAlignment="1">
      <alignment wrapText="1"/>
    </xf>
    <xf numFmtId="0" fontId="0" fillId="0" borderId="7" xfId="0" applyBorder="1" applyAlignment="1">
      <alignment vertical="center" wrapText="1"/>
    </xf>
    <xf numFmtId="0" fontId="0" fillId="0" borderId="7" xfId="0" applyFill="1" applyBorder="1"/>
    <xf numFmtId="0" fontId="0" fillId="4" borderId="7" xfId="0" applyFill="1" applyBorder="1" applyAlignment="1">
      <alignment vertical="center" wrapText="1"/>
    </xf>
    <xf numFmtId="0" fontId="0" fillId="4" borderId="6" xfId="0" applyFill="1" applyBorder="1"/>
    <xf numFmtId="0" fontId="0" fillId="4" borderId="7" xfId="0" applyFill="1" applyBorder="1"/>
    <xf numFmtId="0" fontId="0" fillId="0" borderId="6" xfId="0" applyBorder="1" applyAlignment="1">
      <alignment wrapText="1"/>
    </xf>
    <xf numFmtId="0" fontId="0" fillId="4" borderId="11" xfId="0" applyFill="1" applyBorder="1"/>
    <xf numFmtId="0" fontId="0" fillId="0" borderId="0" xfId="0" applyBorder="1"/>
    <xf numFmtId="0" fontId="0" fillId="0" borderId="11" xfId="0" applyBorder="1" applyAlignment="1">
      <alignment wrapText="1"/>
    </xf>
    <xf numFmtId="0" fontId="0" fillId="0" borderId="11" xfId="0" applyBorder="1" applyAlignment="1">
      <alignment vertical="center" wrapText="1"/>
    </xf>
    <xf numFmtId="0" fontId="0" fillId="4" borderId="27" xfId="0" applyFill="1" applyBorder="1"/>
    <xf numFmtId="0" fontId="0" fillId="4" borderId="25" xfId="0" applyFill="1" applyBorder="1"/>
    <xf numFmtId="0" fontId="0" fillId="0" borderId="29" xfId="0" applyBorder="1"/>
    <xf numFmtId="0" fontId="0" fillId="0" borderId="30" xfId="0" applyBorder="1"/>
    <xf numFmtId="0" fontId="0" fillId="4" borderId="14" xfId="0" applyFill="1" applyBorder="1"/>
    <xf numFmtId="0" fontId="0" fillId="4" borderId="12" xfId="0" applyFill="1" applyBorder="1"/>
    <xf numFmtId="0" fontId="0" fillId="4" borderId="10" xfId="0" applyFill="1" applyBorder="1"/>
    <xf numFmtId="0" fontId="0" fillId="0" borderId="27" xfId="0" applyFill="1" applyBorder="1"/>
    <xf numFmtId="0" fontId="0" fillId="0" borderId="25" xfId="0" applyFill="1" applyBorder="1"/>
    <xf numFmtId="0" fontId="0" fillId="0" borderId="33" xfId="0" applyBorder="1"/>
    <xf numFmtId="0" fontId="0" fillId="4" borderId="8" xfId="0" applyFill="1" applyBorder="1"/>
    <xf numFmtId="0" fontId="0" fillId="0" borderId="8" xfId="0" applyFill="1" applyBorder="1"/>
    <xf numFmtId="0" fontId="0" fillId="5" borderId="18" xfId="0" applyFill="1" applyBorder="1"/>
    <xf numFmtId="0" fontId="0" fillId="3" borderId="34" xfId="0" applyFill="1" applyBorder="1"/>
    <xf numFmtId="0" fontId="0" fillId="0" borderId="28" xfId="0" applyBorder="1"/>
    <xf numFmtId="0" fontId="1" fillId="2" borderId="28" xfId="0" applyFont="1" applyFill="1" applyBorder="1" applyAlignment="1">
      <alignment horizontal="center"/>
    </xf>
    <xf numFmtId="0" fontId="1" fillId="2" borderId="11" xfId="0" applyFont="1" applyFill="1" applyBorder="1" applyAlignment="1">
      <alignment horizontal="center"/>
    </xf>
    <xf numFmtId="0" fontId="1" fillId="2" borderId="11" xfId="0" applyFont="1" applyFill="1" applyBorder="1" applyAlignment="1">
      <alignment horizontal="center" vertical="center" wrapText="1"/>
    </xf>
    <xf numFmtId="0" fontId="0" fillId="4" borderId="36" xfId="0" applyFill="1" applyBorder="1"/>
    <xf numFmtId="0" fontId="0" fillId="0" borderId="36" xfId="0" applyFill="1" applyBorder="1"/>
    <xf numFmtId="0" fontId="0" fillId="0" borderId="37" xfId="0" applyBorder="1"/>
    <xf numFmtId="0" fontId="1" fillId="2" borderId="0" xfId="0" applyFont="1" applyFill="1" applyBorder="1" applyAlignment="1">
      <alignment horizontal="center"/>
    </xf>
    <xf numFmtId="0" fontId="1" fillId="2" borderId="15" xfId="0" applyFont="1" applyFill="1" applyBorder="1" applyAlignment="1">
      <alignment horizontal="center"/>
    </xf>
    <xf numFmtId="0" fontId="0" fillId="0" borderId="36" xfId="0" applyBorder="1"/>
    <xf numFmtId="0" fontId="0" fillId="4" borderId="39" xfId="0" applyFill="1" applyBorder="1"/>
    <xf numFmtId="0" fontId="0" fillId="4" borderId="40" xfId="0" applyFill="1" applyBorder="1"/>
    <xf numFmtId="0" fontId="0" fillId="0" borderId="26" xfId="0" applyBorder="1"/>
    <xf numFmtId="0" fontId="0" fillId="0" borderId="38" xfId="0" applyBorder="1"/>
    <xf numFmtId="0" fontId="1" fillId="2" borderId="35" xfId="0" applyFont="1" applyFill="1" applyBorder="1" applyAlignment="1">
      <alignment horizontal="center" vertical="center"/>
    </xf>
    <xf numFmtId="0" fontId="0" fillId="0" borderId="8" xfId="0" applyBorder="1" applyAlignment="1">
      <alignment wrapText="1"/>
    </xf>
    <xf numFmtId="0" fontId="1" fillId="2" borderId="8" xfId="0" applyFont="1" applyFill="1" applyBorder="1" applyAlignment="1">
      <alignment horizontal="center" vertical="center" wrapText="1"/>
    </xf>
    <xf numFmtId="0" fontId="1" fillId="2" borderId="41" xfId="0" applyFont="1" applyFill="1" applyBorder="1" applyAlignment="1">
      <alignment horizontal="center"/>
    </xf>
    <xf numFmtId="0" fontId="1" fillId="2" borderId="42" xfId="0" applyFont="1" applyFill="1" applyBorder="1" applyAlignment="1">
      <alignment horizontal="center" vertical="center" wrapText="1"/>
    </xf>
    <xf numFmtId="0" fontId="1" fillId="2" borderId="38" xfId="0" applyFont="1" applyFill="1" applyBorder="1" applyAlignment="1">
      <alignment horizontal="center"/>
    </xf>
    <xf numFmtId="0" fontId="1" fillId="2" borderId="35" xfId="0" applyFont="1" applyFill="1" applyBorder="1" applyAlignment="1">
      <alignment horizontal="center"/>
    </xf>
    <xf numFmtId="0" fontId="1" fillId="2" borderId="35" xfId="0" applyFont="1" applyFill="1" applyBorder="1" applyAlignment="1">
      <alignment horizontal="center" vertical="center" wrapText="1"/>
    </xf>
    <xf numFmtId="0" fontId="0" fillId="0" borderId="35" xfId="0" applyBorder="1"/>
    <xf numFmtId="0" fontId="0" fillId="0" borderId="43" xfId="0" applyBorder="1"/>
    <xf numFmtId="0" fontId="0" fillId="4" borderId="33" xfId="0" applyFill="1" applyBorder="1"/>
    <xf numFmtId="0" fontId="0" fillId="0" borderId="33" xfId="0" applyFill="1" applyBorder="1"/>
    <xf numFmtId="0" fontId="0" fillId="4" borderId="13" xfId="0" applyFill="1" applyBorder="1"/>
    <xf numFmtId="0" fontId="0" fillId="0" borderId="11" xfId="0" applyFill="1" applyBorder="1"/>
    <xf numFmtId="0" fontId="0" fillId="0" borderId="17" xfId="0" applyBorder="1"/>
    <xf numFmtId="0" fontId="0" fillId="0" borderId="44" xfId="0" applyBorder="1"/>
    <xf numFmtId="0" fontId="0" fillId="0" borderId="21" xfId="0" applyBorder="1"/>
    <xf numFmtId="0" fontId="0" fillId="5" borderId="19" xfId="0" applyFill="1" applyBorder="1"/>
    <xf numFmtId="0" fontId="0" fillId="0" borderId="0" xfId="0" applyFill="1"/>
    <xf numFmtId="0" fontId="0" fillId="0" borderId="0" xfId="0" applyFill="1" applyBorder="1"/>
    <xf numFmtId="0" fontId="0" fillId="0" borderId="0" xfId="0" applyFill="1" applyAlignment="1">
      <alignment wrapText="1"/>
    </xf>
    <xf numFmtId="0" fontId="0" fillId="0" borderId="0" xfId="0" applyFill="1" applyAlignment="1">
      <alignment horizontal="center" vertical="center"/>
    </xf>
    <xf numFmtId="0" fontId="1" fillId="0" borderId="0" xfId="0" applyFont="1" applyBorder="1"/>
    <xf numFmtId="0" fontId="0" fillId="0" borderId="0" xfId="0" applyFill="1" applyBorder="1" applyAlignment="1">
      <alignment wrapText="1"/>
    </xf>
    <xf numFmtId="0" fontId="0" fillId="0" borderId="0" xfId="0" applyFill="1" applyBorder="1" applyAlignment="1">
      <alignment horizontal="center" vertical="center" wrapText="1"/>
    </xf>
    <xf numFmtId="0" fontId="6" fillId="0" borderId="1" xfId="0" quotePrefix="1" applyFont="1" applyFill="1" applyBorder="1" applyAlignment="1">
      <alignment horizontal="center" vertical="top" wrapText="1"/>
    </xf>
    <xf numFmtId="1" fontId="8" fillId="8" borderId="51" xfId="0" quotePrefix="1" applyNumberFormat="1" applyFont="1" applyFill="1" applyBorder="1" applyAlignment="1">
      <alignment horizontal="center" vertical="top"/>
    </xf>
    <xf numFmtId="0" fontId="12" fillId="0" borderId="0" xfId="0" applyFont="1" applyAlignment="1">
      <alignment horizontal="center" vertical="center"/>
    </xf>
    <xf numFmtId="0" fontId="12" fillId="9" borderId="0" xfId="0" applyFont="1" applyFill="1" applyAlignment="1">
      <alignment horizontal="center" vertical="center"/>
    </xf>
    <xf numFmtId="9" fontId="5" fillId="3" borderId="53" xfId="2" applyFont="1" applyFill="1" applyBorder="1" applyAlignment="1">
      <alignment horizontal="center" vertical="center" wrapText="1"/>
    </xf>
    <xf numFmtId="9" fontId="5" fillId="3" borderId="7" xfId="2" applyFont="1" applyFill="1" applyBorder="1" applyAlignment="1">
      <alignment horizontal="center" vertical="center" wrapText="1"/>
    </xf>
    <xf numFmtId="9" fontId="4" fillId="3" borderId="52" xfId="2" applyFont="1" applyFill="1" applyBorder="1" applyAlignment="1">
      <alignment horizontal="center" vertical="center" wrapText="1"/>
    </xf>
    <xf numFmtId="0" fontId="13" fillId="0" borderId="1" xfId="0" quotePrefix="1" applyFont="1" applyFill="1" applyBorder="1" applyAlignment="1">
      <alignment horizontal="center" vertical="top" wrapText="1"/>
    </xf>
    <xf numFmtId="0" fontId="2" fillId="6" borderId="56" xfId="1" applyBorder="1" applyAlignment="1">
      <alignment horizontal="center" vertical="center" wrapText="1"/>
    </xf>
    <xf numFmtId="0" fontId="6" fillId="0" borderId="46" xfId="0" quotePrefix="1" applyFont="1" applyFill="1" applyBorder="1" applyAlignment="1">
      <alignment horizontal="center" vertical="top" wrapText="1"/>
    </xf>
    <xf numFmtId="0" fontId="6" fillId="0" borderId="35" xfId="0" quotePrefix="1" applyFont="1" applyFill="1" applyBorder="1" applyAlignment="1">
      <alignment horizontal="center" vertical="top" wrapText="1"/>
    </xf>
    <xf numFmtId="0" fontId="0" fillId="0" borderId="40" xfId="0" applyFill="1" applyBorder="1" applyAlignment="1">
      <alignment horizontal="center" vertical="center"/>
    </xf>
    <xf numFmtId="0" fontId="15" fillId="0" borderId="58" xfId="0" applyFont="1" applyBorder="1"/>
    <xf numFmtId="0" fontId="0" fillId="0" borderId="58" xfId="0" applyFill="1" applyBorder="1" applyAlignment="1">
      <alignment horizontal="left" vertical="center" wrapText="1"/>
    </xf>
    <xf numFmtId="0" fontId="2" fillId="6" borderId="59" xfId="1" applyBorder="1" applyAlignment="1">
      <alignment horizontal="center" vertical="center" wrapText="1"/>
    </xf>
    <xf numFmtId="0" fontId="2" fillId="6" borderId="59" xfId="1" applyBorder="1" applyAlignment="1">
      <alignment vertical="center" wrapText="1"/>
    </xf>
    <xf numFmtId="0" fontId="2" fillId="6" borderId="59" xfId="1" applyBorder="1" applyAlignment="1">
      <alignment horizontal="center" vertical="center"/>
    </xf>
    <xf numFmtId="0" fontId="0" fillId="0" borderId="54" xfId="0" applyFill="1" applyBorder="1" applyAlignment="1">
      <alignment horizontal="center" vertical="center"/>
    </xf>
    <xf numFmtId="0" fontId="0" fillId="0" borderId="0" xfId="0" applyFill="1" applyAlignment="1">
      <alignment horizontal="left" vertical="center"/>
    </xf>
    <xf numFmtId="0" fontId="0" fillId="0" borderId="0" xfId="0" applyFill="1" applyAlignment="1">
      <alignment vertical="center"/>
    </xf>
    <xf numFmtId="0" fontId="6" fillId="0" borderId="4" xfId="0" quotePrefix="1" applyFont="1" applyFill="1" applyBorder="1" applyAlignment="1">
      <alignment horizontal="center" vertical="top" wrapText="1"/>
    </xf>
    <xf numFmtId="0" fontId="4" fillId="2" borderId="1" xfId="0" applyFont="1" applyFill="1" applyBorder="1" applyAlignment="1">
      <alignment horizontal="center" vertical="center" wrapText="1"/>
    </xf>
    <xf numFmtId="0" fontId="10" fillId="6" borderId="1" xfId="1" applyFont="1" applyBorder="1" applyAlignment="1">
      <alignment horizontal="center" vertical="center" wrapText="1"/>
    </xf>
    <xf numFmtId="0" fontId="16" fillId="9" borderId="35" xfId="3" quotePrefix="1" applyFill="1" applyBorder="1" applyAlignment="1">
      <alignment horizontal="center" vertical="top" wrapText="1"/>
    </xf>
    <xf numFmtId="0" fontId="2" fillId="9" borderId="59" xfId="1" applyFill="1" applyBorder="1" applyAlignment="1">
      <alignment horizontal="center" vertical="center" wrapText="1"/>
    </xf>
    <xf numFmtId="0" fontId="19" fillId="0" borderId="0" xfId="0" applyFont="1" applyFill="1"/>
    <xf numFmtId="0" fontId="19" fillId="0" borderId="0" xfId="0" applyFont="1"/>
    <xf numFmtId="0" fontId="21" fillId="0" borderId="0" xfId="0" applyFont="1" applyBorder="1"/>
    <xf numFmtId="0" fontId="22" fillId="0" borderId="0" xfId="0" applyFont="1"/>
    <xf numFmtId="0" fontId="23" fillId="0" borderId="41" xfId="0" applyFont="1" applyFill="1" applyBorder="1"/>
    <xf numFmtId="0" fontId="23" fillId="0" borderId="0" xfId="0" applyFont="1" applyFill="1" applyBorder="1"/>
    <xf numFmtId="0" fontId="23"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5" fillId="6" borderId="55" xfId="1" applyFont="1" applyBorder="1" applyAlignment="1">
      <alignment horizontal="center" vertical="center" wrapText="1"/>
    </xf>
    <xf numFmtId="0" fontId="19" fillId="0" borderId="57" xfId="0" applyFont="1" applyBorder="1"/>
    <xf numFmtId="0" fontId="26" fillId="2" borderId="34"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9" fillId="0" borderId="1" xfId="1" applyFont="1" applyFill="1" applyBorder="1" applyAlignment="1">
      <alignment horizontal="center" vertical="center" wrapText="1"/>
    </xf>
    <xf numFmtId="0" fontId="25" fillId="6" borderId="56" xfId="1" applyFont="1" applyBorder="1" applyAlignment="1">
      <alignment horizontal="center" vertical="center" wrapText="1"/>
    </xf>
    <xf numFmtId="0" fontId="30" fillId="0" borderId="58" xfId="0" applyFont="1" applyBorder="1"/>
    <xf numFmtId="0" fontId="31" fillId="3" borderId="42" xfId="0" applyFont="1" applyFill="1" applyBorder="1" applyAlignment="1">
      <alignment horizontal="center" vertical="center" wrapText="1"/>
    </xf>
    <xf numFmtId="9" fontId="23" fillId="0" borderId="1" xfId="2" applyFont="1" applyFill="1" applyBorder="1" applyAlignment="1">
      <alignment horizontal="center" vertical="center" wrapText="1"/>
    </xf>
    <xf numFmtId="0" fontId="32" fillId="0" borderId="1" xfId="0" quotePrefix="1" applyFont="1" applyFill="1" applyBorder="1" applyAlignment="1">
      <alignment horizontal="center" vertical="top"/>
    </xf>
    <xf numFmtId="0" fontId="33" fillId="0" borderId="1" xfId="0" quotePrefix="1" applyFont="1" applyFill="1" applyBorder="1" applyAlignment="1">
      <alignment horizontal="center" vertical="top" wrapText="1"/>
    </xf>
    <xf numFmtId="0" fontId="33" fillId="0" borderId="4" xfId="0" quotePrefix="1" applyFont="1" applyFill="1" applyBorder="1" applyAlignment="1">
      <alignment horizontal="center" vertical="top" wrapText="1"/>
    </xf>
    <xf numFmtId="0" fontId="32" fillId="0" borderId="4" xfId="0" quotePrefix="1" applyFont="1" applyFill="1" applyBorder="1" applyAlignment="1">
      <alignment horizontal="center" vertical="top"/>
    </xf>
    <xf numFmtId="0" fontId="34" fillId="0" borderId="49" xfId="0" quotePrefix="1" applyFont="1" applyFill="1" applyBorder="1" applyAlignment="1">
      <alignment horizontal="center" vertical="top" wrapText="1"/>
    </xf>
    <xf numFmtId="0" fontId="19" fillId="0" borderId="58" xfId="0" applyFont="1" applyFill="1" applyBorder="1" applyAlignment="1">
      <alignment horizontal="left" vertical="center" wrapText="1"/>
    </xf>
    <xf numFmtId="0" fontId="19" fillId="0" borderId="0" xfId="0" applyFont="1" applyFill="1" applyAlignment="1">
      <alignment horizontal="left" vertical="center"/>
    </xf>
    <xf numFmtId="0" fontId="19" fillId="0" borderId="0" xfId="0" applyFont="1" applyFill="1" applyAlignment="1">
      <alignment horizontal="center" vertical="center"/>
    </xf>
    <xf numFmtId="0" fontId="35" fillId="9" borderId="28" xfId="3" quotePrefix="1" applyFont="1" applyFill="1" applyBorder="1" applyAlignment="1">
      <alignment horizontal="center" vertical="top" wrapText="1"/>
    </xf>
    <xf numFmtId="0" fontId="19" fillId="0" borderId="0" xfId="0" applyFont="1" applyFill="1" applyAlignment="1">
      <alignment vertical="center"/>
    </xf>
    <xf numFmtId="0" fontId="33" fillId="0" borderId="35" xfId="0" quotePrefix="1" applyFont="1" applyFill="1" applyBorder="1" applyAlignment="1">
      <alignment horizontal="center" vertical="top" wrapText="1"/>
    </xf>
    <xf numFmtId="0" fontId="34" fillId="0" borderId="28" xfId="0" quotePrefix="1" applyFont="1" applyFill="1" applyBorder="1" applyAlignment="1">
      <alignment horizontal="center" vertical="top" wrapText="1"/>
    </xf>
    <xf numFmtId="0" fontId="36" fillId="0" borderId="1" xfId="0" quotePrefix="1" applyFont="1" applyFill="1" applyBorder="1" applyAlignment="1">
      <alignment horizontal="center" vertical="top"/>
    </xf>
    <xf numFmtId="0" fontId="37" fillId="0" borderId="1" xfId="0" quotePrefix="1" applyFont="1" applyFill="1" applyBorder="1" applyAlignment="1">
      <alignment horizontal="center" vertical="top" wrapText="1"/>
    </xf>
    <xf numFmtId="0" fontId="36" fillId="0" borderId="6" xfId="0" quotePrefix="1" applyFont="1" applyFill="1" applyBorder="1" applyAlignment="1">
      <alignment horizontal="center" vertical="top"/>
    </xf>
    <xf numFmtId="0" fontId="37" fillId="0" borderId="35" xfId="0" quotePrefix="1" applyFont="1" applyFill="1" applyBorder="1" applyAlignment="1">
      <alignment horizontal="center" vertical="top" wrapText="1"/>
    </xf>
    <xf numFmtId="0" fontId="19" fillId="0" borderId="0" xfId="0" applyFont="1" applyAlignment="1">
      <alignment vertical="center" wrapText="1"/>
    </xf>
    <xf numFmtId="0" fontId="25" fillId="6" borderId="59" xfId="1" applyFont="1" applyBorder="1" applyAlignment="1">
      <alignment horizontal="center" vertical="center" wrapText="1"/>
    </xf>
    <xf numFmtId="0" fontId="38" fillId="0" borderId="6" xfId="0" quotePrefix="1" applyFont="1" applyFill="1" applyBorder="1" applyAlignment="1">
      <alignment horizontal="center" vertical="top" wrapText="1"/>
    </xf>
    <xf numFmtId="0" fontId="25" fillId="9" borderId="59" xfId="1" applyFont="1" applyFill="1" applyBorder="1" applyAlignment="1">
      <alignment horizontal="center" vertical="center" wrapText="1"/>
    </xf>
    <xf numFmtId="0" fontId="37" fillId="9" borderId="1" xfId="0" quotePrefix="1" applyFont="1" applyFill="1" applyBorder="1" applyAlignment="1">
      <alignment horizontal="center" vertical="top" wrapText="1"/>
    </xf>
    <xf numFmtId="0" fontId="25" fillId="6" borderId="59" xfId="1" applyFont="1" applyBorder="1" applyAlignment="1">
      <alignment vertical="center" wrapText="1"/>
    </xf>
    <xf numFmtId="0" fontId="39" fillId="3" borderId="47" xfId="0" applyFont="1" applyFill="1" applyBorder="1" applyAlignment="1">
      <alignment horizontal="center" vertical="center" wrapText="1"/>
    </xf>
    <xf numFmtId="0" fontId="40" fillId="0" borderId="2" xfId="0" quotePrefix="1" applyFont="1" applyFill="1" applyBorder="1" applyAlignment="1">
      <alignment horizontal="center" vertical="top"/>
    </xf>
    <xf numFmtId="0" fontId="34" fillId="0" borderId="2" xfId="0" quotePrefix="1" applyFont="1" applyFill="1" applyBorder="1" applyAlignment="1">
      <alignment horizontal="center" vertical="top" wrapText="1"/>
    </xf>
    <xf numFmtId="0" fontId="36" fillId="0" borderId="2" xfId="0" quotePrefix="1" applyFont="1" applyFill="1" applyBorder="1" applyAlignment="1">
      <alignment horizontal="center" vertical="top"/>
    </xf>
    <xf numFmtId="0" fontId="37" fillId="0" borderId="2" xfId="0" quotePrefix="1" applyFont="1" applyFill="1" applyBorder="1" applyAlignment="1">
      <alignment horizontal="center" vertical="top" wrapText="1"/>
    </xf>
    <xf numFmtId="0" fontId="36" fillId="0" borderId="48" xfId="0" quotePrefix="1" applyFont="1" applyFill="1" applyBorder="1" applyAlignment="1">
      <alignment horizontal="center" vertical="top"/>
    </xf>
    <xf numFmtId="0" fontId="25" fillId="6" borderId="59" xfId="1" applyFont="1" applyBorder="1" applyAlignment="1">
      <alignment horizontal="center" vertical="center"/>
    </xf>
    <xf numFmtId="0" fontId="41" fillId="3" borderId="34" xfId="0" applyFont="1" applyFill="1" applyBorder="1" applyAlignment="1">
      <alignment horizontal="center" vertical="center" wrapText="1"/>
    </xf>
    <xf numFmtId="0" fontId="24" fillId="11" borderId="17" xfId="0" applyFont="1" applyFill="1" applyBorder="1" applyAlignment="1">
      <alignment horizontal="center" vertical="center" wrapText="1"/>
    </xf>
    <xf numFmtId="9" fontId="24" fillId="11" borderId="18" xfId="2" applyFont="1" applyFill="1" applyBorder="1" applyAlignment="1">
      <alignment horizontal="center" vertical="center" wrapText="1"/>
    </xf>
    <xf numFmtId="1" fontId="42" fillId="11" borderId="18" xfId="0" quotePrefix="1" applyNumberFormat="1" applyFont="1" applyFill="1" applyBorder="1" applyAlignment="1">
      <alignment horizontal="center" vertical="top"/>
    </xf>
    <xf numFmtId="0" fontId="42" fillId="11" borderId="18" xfId="0" quotePrefix="1" applyFont="1" applyFill="1" applyBorder="1" applyAlignment="1">
      <alignment horizontal="center" vertical="top"/>
    </xf>
    <xf numFmtId="1" fontId="42" fillId="11" borderId="19" xfId="0" quotePrefix="1" applyNumberFormat="1" applyFont="1" applyFill="1" applyBorder="1" applyAlignment="1">
      <alignment horizontal="center" vertical="top"/>
    </xf>
    <xf numFmtId="0" fontId="19" fillId="0" borderId="14" xfId="0" applyFont="1" applyFill="1" applyBorder="1" applyAlignment="1">
      <alignment horizontal="center" vertical="center"/>
    </xf>
    <xf numFmtId="0" fontId="19" fillId="0" borderId="54" xfId="0" applyFont="1" applyFill="1" applyBorder="1" applyAlignment="1">
      <alignment horizontal="center" vertical="center"/>
    </xf>
    <xf numFmtId="0" fontId="19" fillId="0" borderId="0" xfId="0" applyFont="1" applyFill="1" applyBorder="1"/>
    <xf numFmtId="0" fontId="19" fillId="0" borderId="0" xfId="0" applyFont="1" applyBorder="1"/>
    <xf numFmtId="0" fontId="21" fillId="0" borderId="8" xfId="0" applyFont="1" applyFill="1" applyBorder="1" applyAlignment="1">
      <alignment horizontal="center" vertical="center" wrapText="1"/>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19" fillId="0" borderId="1" xfId="0" applyFont="1" applyFill="1" applyBorder="1" applyAlignment="1"/>
    <xf numFmtId="0" fontId="21" fillId="0" borderId="9" xfId="0" applyFont="1" applyFill="1" applyBorder="1" applyAlignment="1">
      <alignment horizontal="center" vertical="center" wrapText="1"/>
    </xf>
    <xf numFmtId="0" fontId="19" fillId="0" borderId="0" xfId="0" applyFont="1" applyFill="1" applyBorder="1" applyAlignment="1">
      <alignment wrapText="1"/>
    </xf>
    <xf numFmtId="0" fontId="19" fillId="0" borderId="0" xfId="0" applyFont="1" applyFill="1" applyAlignment="1">
      <alignment wrapText="1"/>
    </xf>
    <xf numFmtId="0" fontId="32" fillId="0" borderId="13" xfId="0" quotePrefix="1" applyFont="1" applyFill="1" applyBorder="1" applyAlignment="1">
      <alignment horizontal="center" vertical="top"/>
    </xf>
    <xf numFmtId="0" fontId="32" fillId="0" borderId="48" xfId="0" quotePrefix="1" applyFont="1" applyFill="1" applyBorder="1" applyAlignment="1">
      <alignment horizontal="center" vertical="top"/>
    </xf>
    <xf numFmtId="0" fontId="32" fillId="0" borderId="48" xfId="0" quotePrefix="1" applyFont="1" applyFill="1" applyBorder="1" applyAlignment="1">
      <alignment horizontal="center" vertical="center"/>
    </xf>
    <xf numFmtId="0" fontId="43" fillId="0" borderId="48" xfId="0" quotePrefix="1" applyFont="1" applyFill="1" applyBorder="1" applyAlignment="1">
      <alignment horizontal="center" vertical="top"/>
    </xf>
    <xf numFmtId="0" fontId="36" fillId="0" borderId="10" xfId="0" quotePrefix="1" applyFont="1" applyFill="1" applyBorder="1" applyAlignment="1">
      <alignment horizontal="center" vertical="top"/>
    </xf>
    <xf numFmtId="0" fontId="44" fillId="0" borderId="0" xfId="0" applyFont="1" applyAlignment="1">
      <alignment horizontal="center" vertical="center"/>
    </xf>
    <xf numFmtId="0" fontId="44" fillId="9" borderId="0" xfId="0" applyFont="1" applyFill="1" applyAlignment="1">
      <alignment horizontal="center" vertical="center"/>
    </xf>
    <xf numFmtId="0" fontId="19" fillId="0" borderId="0" xfId="0" applyFont="1" applyFill="1" applyBorder="1" applyAlignment="1">
      <alignment horizontal="center" vertical="center" wrapText="1"/>
    </xf>
    <xf numFmtId="0" fontId="36" fillId="0" borderId="1" xfId="0" quotePrefix="1" applyFont="1" applyFill="1" applyBorder="1" applyAlignment="1">
      <alignment horizontal="center" vertical="center"/>
    </xf>
    <xf numFmtId="0" fontId="45" fillId="0" borderId="0" xfId="0" applyFont="1" applyAlignment="1">
      <alignment horizontal="center" vertical="center"/>
    </xf>
    <xf numFmtId="0" fontId="0" fillId="0" borderId="0" xfId="0" applyAlignment="1">
      <alignment horizontal="left" vertical="center" wrapText="1"/>
    </xf>
    <xf numFmtId="0" fontId="46" fillId="0" borderId="0" xfId="0" applyFont="1" applyAlignment="1">
      <alignment horizontal="center" vertical="center" wrapText="1"/>
    </xf>
    <xf numFmtId="0" fontId="47" fillId="0" borderId="1" xfId="0" applyFont="1" applyBorder="1" applyAlignment="1">
      <alignment horizontal="left" vertical="center" wrapText="1"/>
    </xf>
    <xf numFmtId="0" fontId="47" fillId="0" borderId="3" xfId="0" applyFont="1" applyFill="1" applyBorder="1" applyAlignment="1">
      <alignment horizontal="left" vertical="center" wrapText="1"/>
    </xf>
    <xf numFmtId="0" fontId="47" fillId="0" borderId="5" xfId="0" applyFont="1" applyBorder="1" applyAlignment="1">
      <alignment vertical="center" wrapText="1"/>
    </xf>
    <xf numFmtId="0" fontId="0" fillId="0" borderId="66" xfId="0" applyBorder="1"/>
    <xf numFmtId="0" fontId="0" fillId="0" borderId="68" xfId="0" applyBorder="1"/>
    <xf numFmtId="0" fontId="0" fillId="0" borderId="69" xfId="0" applyBorder="1"/>
    <xf numFmtId="0" fontId="0" fillId="0" borderId="0" xfId="0" applyBorder="1" applyAlignment="1">
      <alignment horizontal="right" wrapText="1"/>
    </xf>
    <xf numFmtId="0" fontId="1" fillId="0" borderId="70" xfId="0" applyFont="1" applyBorder="1"/>
    <xf numFmtId="0" fontId="0" fillId="0" borderId="68" xfId="0" applyBorder="1" applyAlignment="1">
      <alignment horizontal="center"/>
    </xf>
    <xf numFmtId="0" fontId="0" fillId="0" borderId="69" xfId="0" applyBorder="1" applyAlignment="1">
      <alignment horizontal="center"/>
    </xf>
    <xf numFmtId="0" fontId="31" fillId="3" borderId="15" xfId="0" applyFont="1" applyFill="1" applyBorder="1" applyAlignment="1">
      <alignment horizontal="center" vertical="center" wrapText="1"/>
    </xf>
    <xf numFmtId="0" fontId="38" fillId="0" borderId="28" xfId="0" quotePrefix="1" applyFont="1" applyFill="1" applyBorder="1" applyAlignment="1">
      <alignment horizontal="center" vertical="top" wrapText="1"/>
    </xf>
    <xf numFmtId="0" fontId="9" fillId="7" borderId="17"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10" fillId="6" borderId="18" xfId="1" applyFont="1" applyBorder="1" applyAlignment="1">
      <alignment horizontal="center" vertical="center" wrapText="1"/>
    </xf>
    <xf numFmtId="0" fontId="4" fillId="2" borderId="52" xfId="0" applyFont="1" applyFill="1" applyBorder="1" applyAlignment="1">
      <alignment horizontal="center" vertical="center" wrapText="1"/>
    </xf>
    <xf numFmtId="0" fontId="9" fillId="3" borderId="52" xfId="0" applyFont="1" applyFill="1" applyBorder="1" applyAlignment="1">
      <alignment horizontal="center" vertical="center" wrapText="1"/>
    </xf>
    <xf numFmtId="0" fontId="17" fillId="3" borderId="53" xfId="0" applyFont="1" applyFill="1" applyBorder="1" applyAlignment="1">
      <alignment horizontal="center" vertical="center" wrapText="1"/>
    </xf>
    <xf numFmtId="0" fontId="14" fillId="3" borderId="53"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8" fillId="3" borderId="71" xfId="0" applyFont="1" applyFill="1" applyBorder="1" applyAlignment="1">
      <alignment horizontal="center" vertical="center" wrapText="1"/>
    </xf>
    <xf numFmtId="0" fontId="14" fillId="3" borderId="71" xfId="0" applyFont="1" applyFill="1" applyBorder="1" applyAlignment="1">
      <alignment horizontal="center" vertical="center" wrapText="1"/>
    </xf>
    <xf numFmtId="9" fontId="5" fillId="3" borderId="71" xfId="2" applyFont="1" applyFill="1" applyBorder="1" applyAlignment="1">
      <alignment horizontal="center" vertical="center" wrapText="1"/>
    </xf>
    <xf numFmtId="0" fontId="48" fillId="3" borderId="71" xfId="0" applyFont="1" applyFill="1" applyBorder="1" applyAlignment="1">
      <alignment horizontal="center" vertical="center" wrapText="1"/>
    </xf>
    <xf numFmtId="0" fontId="3" fillId="0" borderId="6" xfId="0" quotePrefix="1" applyFont="1" applyFill="1" applyBorder="1" applyAlignment="1">
      <alignment horizontal="center" vertical="top"/>
    </xf>
    <xf numFmtId="0" fontId="49" fillId="0" borderId="1" xfId="0" quotePrefix="1" applyFont="1" applyFill="1" applyBorder="1" applyAlignment="1">
      <alignment horizontal="center" vertical="top" wrapText="1"/>
    </xf>
    <xf numFmtId="0" fontId="3" fillId="0" borderId="1" xfId="0" quotePrefix="1" applyFont="1" applyFill="1" applyBorder="1" applyAlignment="1">
      <alignment horizontal="center" vertical="top"/>
    </xf>
    <xf numFmtId="0" fontId="3" fillId="0" borderId="26" xfId="0" quotePrefix="1" applyFont="1" applyFill="1" applyBorder="1" applyAlignment="1">
      <alignment horizontal="center" vertical="top"/>
    </xf>
    <xf numFmtId="0" fontId="49" fillId="0" borderId="4" xfId="0" quotePrefix="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9" fillId="7" borderId="63" xfId="0" applyFont="1" applyFill="1" applyBorder="1" applyAlignment="1">
      <alignment horizontal="center" vertical="center" wrapText="1"/>
    </xf>
    <xf numFmtId="0" fontId="9" fillId="7" borderId="30"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10" fillId="6" borderId="3" xfId="1" applyFont="1" applyBorder="1" applyAlignment="1">
      <alignment horizontal="center" vertical="center" wrapText="1"/>
    </xf>
    <xf numFmtId="0" fontId="2" fillId="6" borderId="0" xfId="1" applyBorder="1" applyAlignment="1">
      <alignment horizontal="center" vertical="center" wrapText="1"/>
    </xf>
    <xf numFmtId="0" fontId="1" fillId="0" borderId="72" xfId="0" applyFont="1" applyBorder="1"/>
    <xf numFmtId="44" fontId="0" fillId="0" borderId="0" xfId="4" applyFont="1"/>
    <xf numFmtId="1" fontId="1" fillId="0" borderId="70" xfId="0" applyNumberFormat="1" applyFont="1" applyBorder="1"/>
    <xf numFmtId="164" fontId="0" fillId="0" borderId="0" xfId="4" applyNumberFormat="1" applyFont="1"/>
    <xf numFmtId="0" fontId="4" fillId="2" borderId="34" xfId="0" applyFont="1" applyFill="1" applyBorder="1" applyAlignment="1">
      <alignment horizontal="center" vertical="center" wrapText="1"/>
    </xf>
    <xf numFmtId="0" fontId="4" fillId="2" borderId="63" xfId="0" applyFont="1" applyFill="1" applyBorder="1" applyAlignment="1">
      <alignment horizontal="center" vertical="center" wrapText="1"/>
    </xf>
    <xf numFmtId="0" fontId="9" fillId="3" borderId="54" xfId="0" applyFont="1" applyFill="1" applyBorder="1" applyAlignment="1">
      <alignment horizontal="center" vertical="center" wrapText="1"/>
    </xf>
    <xf numFmtId="0" fontId="50" fillId="0" borderId="1" xfId="0" applyFont="1" applyFill="1" applyBorder="1" applyAlignment="1">
      <alignment horizontal="center" vertical="center"/>
    </xf>
    <xf numFmtId="0" fontId="50" fillId="0" borderId="1" xfId="0" applyFont="1" applyFill="1" applyBorder="1" applyAlignment="1">
      <alignment horizontal="center" vertical="center" wrapText="1"/>
    </xf>
    <xf numFmtId="0" fontId="46" fillId="0" borderId="1" xfId="0" applyFont="1" applyFill="1" applyBorder="1" applyAlignment="1"/>
    <xf numFmtId="0" fontId="9" fillId="3" borderId="0" xfId="0" applyFont="1" applyFill="1" applyBorder="1" applyAlignment="1">
      <alignment horizontal="center" vertical="center" wrapText="1"/>
    </xf>
    <xf numFmtId="0" fontId="48" fillId="3" borderId="0" xfId="0" applyFont="1" applyFill="1" applyBorder="1" applyAlignment="1">
      <alignment horizontal="center" vertical="center" wrapText="1"/>
    </xf>
    <xf numFmtId="9" fontId="4" fillId="3" borderId="0" xfId="2" applyFont="1" applyFill="1" applyBorder="1" applyAlignment="1">
      <alignment horizontal="center" vertical="center" wrapText="1"/>
    </xf>
    <xf numFmtId="0" fontId="0" fillId="0" borderId="0" xfId="0" applyFill="1" applyBorder="1" applyAlignment="1">
      <alignment horizontal="center" vertical="center"/>
    </xf>
    <xf numFmtId="1" fontId="51" fillId="8" borderId="0" xfId="0" quotePrefix="1" applyNumberFormat="1" applyFont="1" applyFill="1" applyBorder="1" applyAlignment="1">
      <alignment horizontal="center" vertical="top"/>
    </xf>
    <xf numFmtId="2" fontId="51" fillId="8" borderId="0" xfId="0" quotePrefix="1" applyNumberFormat="1" applyFont="1" applyFill="1" applyBorder="1" applyAlignment="1">
      <alignment horizontal="center" vertical="top"/>
    </xf>
    <xf numFmtId="9" fontId="51" fillId="8" borderId="0" xfId="2" quotePrefix="1" applyFont="1" applyFill="1" applyBorder="1" applyAlignment="1">
      <alignment horizontal="center" vertical="top"/>
    </xf>
    <xf numFmtId="9" fontId="4" fillId="13" borderId="0" xfId="2" applyFont="1" applyFill="1" applyBorder="1" applyAlignment="1">
      <alignment horizontal="center" vertical="center" wrapText="1"/>
    </xf>
    <xf numFmtId="9" fontId="4" fillId="17" borderId="0" xfId="2" applyFont="1" applyFill="1" applyBorder="1" applyAlignment="1">
      <alignment horizontal="center" vertical="center" wrapText="1"/>
    </xf>
    <xf numFmtId="9" fontId="51" fillId="8" borderId="1" xfId="2" quotePrefix="1" applyFont="1" applyFill="1" applyBorder="1" applyAlignment="1">
      <alignment horizontal="center" vertical="top"/>
    </xf>
    <xf numFmtId="2" fontId="51" fillId="17" borderId="1" xfId="0" quotePrefix="1" applyNumberFormat="1" applyFont="1" applyFill="1" applyBorder="1" applyAlignment="1">
      <alignment horizontal="center" vertical="top"/>
    </xf>
    <xf numFmtId="1" fontId="51" fillId="17" borderId="1" xfId="0" quotePrefix="1" applyNumberFormat="1" applyFont="1" applyFill="1" applyBorder="1" applyAlignment="1">
      <alignment horizontal="center" vertical="top"/>
    </xf>
    <xf numFmtId="0" fontId="0" fillId="0" borderId="1" xfId="0" applyFill="1" applyBorder="1" applyAlignment="1">
      <alignment horizontal="center" vertical="center"/>
    </xf>
    <xf numFmtId="0" fontId="3" fillId="17" borderId="4" xfId="0" quotePrefix="1" applyFont="1" applyFill="1" applyBorder="1" applyAlignment="1">
      <alignment horizontal="center" vertical="top"/>
    </xf>
    <xf numFmtId="0" fontId="49" fillId="17" borderId="4" xfId="0" quotePrefix="1" applyFont="1" applyFill="1" applyBorder="1" applyAlignment="1">
      <alignment horizontal="center" vertical="top" wrapText="1"/>
    </xf>
    <xf numFmtId="0" fontId="3" fillId="17" borderId="1" xfId="0" quotePrefix="1" applyFont="1" applyFill="1" applyBorder="1" applyAlignment="1">
      <alignment horizontal="center" vertical="top"/>
    </xf>
    <xf numFmtId="0" fontId="49" fillId="17" borderId="1" xfId="0" quotePrefix="1" applyFont="1" applyFill="1" applyBorder="1" applyAlignment="1">
      <alignment horizontal="center" vertical="top" wrapText="1"/>
    </xf>
    <xf numFmtId="0" fontId="49" fillId="17" borderId="35" xfId="0" quotePrefix="1" applyFont="1" applyFill="1" applyBorder="1" applyAlignment="1">
      <alignment horizontal="center" vertical="top" wrapText="1"/>
    </xf>
    <xf numFmtId="0" fontId="3" fillId="17" borderId="6" xfId="0" quotePrefix="1" applyFont="1" applyFill="1" applyBorder="1" applyAlignment="1">
      <alignment horizontal="center" vertical="top"/>
    </xf>
    <xf numFmtId="0" fontId="4" fillId="17" borderId="1" xfId="0" applyFont="1" applyFill="1" applyBorder="1" applyAlignment="1">
      <alignment horizontal="center" vertical="center" wrapText="1"/>
    </xf>
    <xf numFmtId="0" fontId="6" fillId="17" borderId="1" xfId="0" quotePrefix="1" applyFont="1" applyFill="1" applyBorder="1" applyAlignment="1">
      <alignment horizontal="center" vertical="top" wrapText="1"/>
    </xf>
    <xf numFmtId="0" fontId="3" fillId="0" borderId="0" xfId="0" quotePrefix="1" applyFont="1" applyFill="1" applyBorder="1" applyAlignment="1">
      <alignment horizontal="center" vertical="top"/>
    </xf>
    <xf numFmtId="2" fontId="0" fillId="0" borderId="0" xfId="0" applyNumberFormat="1" applyBorder="1"/>
    <xf numFmtId="0" fontId="0" fillId="9" borderId="0" xfId="0" applyFill="1" applyBorder="1"/>
    <xf numFmtId="0" fontId="0" fillId="0" borderId="0" xfId="0" applyBorder="1" applyAlignment="1">
      <alignment horizontal="center"/>
    </xf>
    <xf numFmtId="0" fontId="0" fillId="0" borderId="66" xfId="0" applyBorder="1" applyAlignment="1">
      <alignment horizontal="center"/>
    </xf>
    <xf numFmtId="0" fontId="0" fillId="0" borderId="0" xfId="0" applyAlignment="1">
      <alignment horizontal="center"/>
    </xf>
    <xf numFmtId="0" fontId="0" fillId="9" borderId="15" xfId="0" applyFill="1" applyBorder="1"/>
    <xf numFmtId="2" fontId="0" fillId="9" borderId="0" xfId="0" applyNumberFormat="1" applyFill="1" applyBorder="1"/>
    <xf numFmtId="0" fontId="0" fillId="0" borderId="0" xfId="0" applyBorder="1" applyAlignment="1">
      <alignment horizontal="center"/>
    </xf>
    <xf numFmtId="0" fontId="0" fillId="0" borderId="66" xfId="0" applyBorder="1" applyAlignment="1">
      <alignment horizontal="center"/>
    </xf>
    <xf numFmtId="0" fontId="0" fillId="0" borderId="0" xfId="0" applyAlignment="1">
      <alignment horizontal="center"/>
    </xf>
    <xf numFmtId="0" fontId="0" fillId="0" borderId="15" xfId="0" applyFill="1" applyBorder="1"/>
    <xf numFmtId="0" fontId="0" fillId="0" borderId="0" xfId="0" applyFill="1" applyBorder="1" applyAlignment="1">
      <alignment horizontal="center"/>
    </xf>
    <xf numFmtId="0" fontId="0" fillId="9" borderId="0" xfId="0" applyFill="1" applyBorder="1" applyAlignment="1">
      <alignment horizontal="center"/>
    </xf>
    <xf numFmtId="2" fontId="0" fillId="9" borderId="0" xfId="0" applyNumberFormat="1" applyFill="1" applyBorder="1" applyAlignment="1">
      <alignment horizontal="center"/>
    </xf>
    <xf numFmtId="2" fontId="0" fillId="0" borderId="0" xfId="0" applyNumberFormat="1"/>
    <xf numFmtId="0" fontId="1" fillId="0" borderId="72" xfId="0" applyFont="1" applyBorder="1" applyAlignment="1"/>
    <xf numFmtId="0" fontId="0" fillId="0" borderId="18" xfId="0" applyBorder="1"/>
    <xf numFmtId="0" fontId="0" fillId="0" borderId="4" xfId="0" applyBorder="1" applyAlignment="1">
      <alignment horizontal="center"/>
    </xf>
    <xf numFmtId="0" fontId="0" fillId="0" borderId="22" xfId="0" applyBorder="1" applyAlignment="1">
      <alignment horizontal="center"/>
    </xf>
    <xf numFmtId="0" fontId="0" fillId="0" borderId="48" xfId="0" applyBorder="1" applyAlignment="1">
      <alignment horizontal="center"/>
    </xf>
    <xf numFmtId="0" fontId="0" fillId="0" borderId="10"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0" xfId="0" applyAlignment="1">
      <alignment horizontal="center"/>
    </xf>
    <xf numFmtId="0" fontId="0" fillId="0" borderId="73" xfId="0" applyBorder="1"/>
    <xf numFmtId="0" fontId="0" fillId="0" borderId="75" xfId="0" applyBorder="1" applyAlignment="1">
      <alignment horizontal="center"/>
    </xf>
    <xf numFmtId="0" fontId="0" fillId="0" borderId="32" xfId="0" applyBorder="1" applyAlignment="1">
      <alignment horizontal="center"/>
    </xf>
    <xf numFmtId="0" fontId="0" fillId="0" borderId="31" xfId="0" applyBorder="1" applyAlignment="1">
      <alignment horizontal="center"/>
    </xf>
    <xf numFmtId="0" fontId="0" fillId="0" borderId="62" xfId="0" applyBorder="1" applyAlignment="1">
      <alignment horizontal="center"/>
    </xf>
    <xf numFmtId="0" fontId="0" fillId="0" borderId="16" xfId="0" applyBorder="1" applyAlignment="1">
      <alignment horizontal="center"/>
    </xf>
    <xf numFmtId="2" fontId="0" fillId="0" borderId="76" xfId="0" applyNumberFormat="1" applyBorder="1" applyAlignment="1">
      <alignment horizontal="center"/>
    </xf>
    <xf numFmtId="2" fontId="0" fillId="0" borderId="69" xfId="0" applyNumberFormat="1" applyBorder="1" applyAlignment="1">
      <alignment horizontal="center"/>
    </xf>
    <xf numFmtId="2" fontId="0" fillId="0" borderId="38" xfId="0" applyNumberFormat="1" applyBorder="1" applyAlignment="1">
      <alignment horizontal="center"/>
    </xf>
    <xf numFmtId="2" fontId="0" fillId="0" borderId="66" xfId="0" applyNumberFormat="1" applyBorder="1" applyAlignment="1">
      <alignment horizontal="center"/>
    </xf>
    <xf numFmtId="2" fontId="0" fillId="0" borderId="75" xfId="0" applyNumberFormat="1" applyBorder="1" applyAlignment="1">
      <alignment horizontal="center"/>
    </xf>
    <xf numFmtId="0" fontId="0" fillId="0" borderId="13" xfId="0" applyBorder="1" applyAlignment="1">
      <alignment horizontal="center"/>
    </xf>
    <xf numFmtId="0" fontId="0" fillId="0" borderId="17" xfId="0" applyBorder="1" applyAlignment="1">
      <alignment horizontal="center"/>
    </xf>
    <xf numFmtId="0" fontId="0" fillId="0" borderId="21" xfId="0" applyBorder="1" applyAlignment="1">
      <alignment horizontal="center"/>
    </xf>
    <xf numFmtId="0" fontId="0" fillId="0" borderId="44" xfId="0" applyBorder="1" applyAlignment="1">
      <alignment horizontal="center"/>
    </xf>
    <xf numFmtId="0" fontId="0" fillId="0" borderId="50" xfId="0" applyBorder="1" applyAlignment="1">
      <alignment horizontal="center"/>
    </xf>
    <xf numFmtId="0" fontId="0" fillId="0" borderId="12" xfId="0" applyBorder="1" applyAlignment="1">
      <alignment horizontal="center"/>
    </xf>
    <xf numFmtId="0" fontId="0" fillId="0" borderId="26" xfId="0" applyBorder="1" applyAlignment="1">
      <alignment horizontal="center"/>
    </xf>
    <xf numFmtId="0" fontId="0" fillId="0" borderId="25" xfId="0" applyBorder="1" applyAlignment="1">
      <alignment horizontal="center"/>
    </xf>
    <xf numFmtId="0" fontId="1" fillId="0" borderId="52" xfId="0" applyFont="1" applyBorder="1" applyAlignment="1">
      <alignment horizontal="center"/>
    </xf>
    <xf numFmtId="0" fontId="0" fillId="0" borderId="52" xfId="0" applyBorder="1"/>
    <xf numFmtId="0" fontId="0" fillId="0" borderId="77" xfId="0" applyBorder="1"/>
    <xf numFmtId="0" fontId="0" fillId="0" borderId="71" xfId="0" applyBorder="1"/>
    <xf numFmtId="0" fontId="0" fillId="0" borderId="78" xfId="0" applyBorder="1" applyAlignment="1">
      <alignment horizontal="center"/>
    </xf>
    <xf numFmtId="0" fontId="0" fillId="0" borderId="63" xfId="0" applyBorder="1" applyAlignment="1">
      <alignment horizontal="center"/>
    </xf>
    <xf numFmtId="0" fontId="0" fillId="0" borderId="64" xfId="0" applyBorder="1" applyAlignment="1">
      <alignment horizontal="center"/>
    </xf>
    <xf numFmtId="0" fontId="0" fillId="0" borderId="0" xfId="0" applyBorder="1" applyAlignment="1">
      <alignment horizontal="center"/>
    </xf>
    <xf numFmtId="0" fontId="0" fillId="0" borderId="66" xfId="0" applyBorder="1" applyAlignment="1">
      <alignment horizontal="center"/>
    </xf>
    <xf numFmtId="0" fontId="0" fillId="0" borderId="0" xfId="0" applyAlignment="1">
      <alignment horizontal="center"/>
    </xf>
    <xf numFmtId="0" fontId="0" fillId="0" borderId="67" xfId="0" applyBorder="1" applyAlignment="1">
      <alignment horizontal="right" wrapText="1"/>
    </xf>
    <xf numFmtId="0" fontId="0" fillId="0" borderId="68" xfId="0" applyBorder="1" applyAlignment="1">
      <alignment horizontal="right" wrapText="1"/>
    </xf>
    <xf numFmtId="0" fontId="1" fillId="0" borderId="72" xfId="0" applyFont="1" applyBorder="1" applyAlignment="1">
      <alignment horizontal="center" wrapText="1"/>
    </xf>
    <xf numFmtId="0" fontId="52" fillId="13" borderId="63" xfId="0" applyFont="1" applyFill="1" applyBorder="1" applyAlignment="1">
      <alignment horizontal="center"/>
    </xf>
    <xf numFmtId="0" fontId="52" fillId="13" borderId="64" xfId="0" applyFont="1" applyFill="1" applyBorder="1" applyAlignment="1">
      <alignment horizontal="center"/>
    </xf>
    <xf numFmtId="0" fontId="52" fillId="13" borderId="65" xfId="0" applyFont="1" applyFill="1" applyBorder="1" applyAlignment="1">
      <alignment horizontal="center"/>
    </xf>
    <xf numFmtId="0" fontId="52" fillId="15" borderId="63" xfId="0" applyFont="1" applyFill="1" applyBorder="1" applyAlignment="1">
      <alignment horizontal="center"/>
    </xf>
    <xf numFmtId="0" fontId="52" fillId="15" borderId="64" xfId="0" applyFont="1" applyFill="1" applyBorder="1" applyAlignment="1">
      <alignment horizontal="center"/>
    </xf>
    <xf numFmtId="0" fontId="52" fillId="15" borderId="65" xfId="0" applyFont="1" applyFill="1" applyBorder="1" applyAlignment="1">
      <alignment horizontal="center"/>
    </xf>
    <xf numFmtId="0" fontId="52" fillId="18" borderId="63" xfId="0" applyFont="1" applyFill="1" applyBorder="1" applyAlignment="1">
      <alignment horizontal="center"/>
    </xf>
    <xf numFmtId="0" fontId="52" fillId="18" borderId="64" xfId="0" applyFont="1" applyFill="1" applyBorder="1" applyAlignment="1">
      <alignment horizontal="center"/>
    </xf>
    <xf numFmtId="0" fontId="52" fillId="18" borderId="65" xfId="0" applyFont="1" applyFill="1" applyBorder="1" applyAlignment="1">
      <alignment horizontal="center"/>
    </xf>
    <xf numFmtId="0" fontId="53" fillId="19" borderId="15" xfId="0" applyFont="1" applyFill="1" applyBorder="1" applyAlignment="1">
      <alignment horizontal="center"/>
    </xf>
    <xf numFmtId="0" fontId="53" fillId="19" borderId="0" xfId="0" applyFont="1" applyFill="1" applyBorder="1" applyAlignment="1">
      <alignment horizontal="center"/>
    </xf>
    <xf numFmtId="0" fontId="53" fillId="9" borderId="15" xfId="0" applyFont="1" applyFill="1" applyBorder="1" applyAlignment="1">
      <alignment horizontal="center"/>
    </xf>
    <xf numFmtId="0" fontId="53" fillId="9" borderId="0" xfId="0" applyFont="1" applyFill="1"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53" fillId="15" borderId="15" xfId="0" applyFont="1" applyFill="1" applyBorder="1" applyAlignment="1">
      <alignment horizontal="center"/>
    </xf>
    <xf numFmtId="0" fontId="53" fillId="15" borderId="0" xfId="0" applyFont="1" applyFill="1" applyBorder="1" applyAlignment="1">
      <alignment horizontal="center"/>
    </xf>
    <xf numFmtId="0" fontId="53" fillId="19" borderId="63" xfId="0" applyFont="1" applyFill="1" applyBorder="1" applyAlignment="1">
      <alignment horizontal="center"/>
    </xf>
    <xf numFmtId="0" fontId="53" fillId="19" borderId="64" xfId="0" applyFont="1" applyFill="1" applyBorder="1" applyAlignment="1">
      <alignment horizontal="center"/>
    </xf>
    <xf numFmtId="0" fontId="53" fillId="19" borderId="65" xfId="0" applyFont="1" applyFill="1" applyBorder="1" applyAlignment="1">
      <alignment horizontal="center"/>
    </xf>
    <xf numFmtId="0" fontId="53" fillId="9" borderId="63" xfId="0" applyFont="1" applyFill="1" applyBorder="1" applyAlignment="1">
      <alignment horizontal="center"/>
    </xf>
    <xf numFmtId="0" fontId="53" fillId="9" borderId="64" xfId="0" applyFont="1" applyFill="1" applyBorder="1" applyAlignment="1">
      <alignment horizontal="center"/>
    </xf>
    <xf numFmtId="0" fontId="53" fillId="9" borderId="65" xfId="0" applyFont="1" applyFill="1" applyBorder="1" applyAlignment="1">
      <alignment horizontal="center"/>
    </xf>
    <xf numFmtId="0" fontId="53" fillId="15" borderId="63" xfId="0" applyFont="1" applyFill="1" applyBorder="1" applyAlignment="1">
      <alignment horizontal="center"/>
    </xf>
    <xf numFmtId="0" fontId="53" fillId="15" borderId="64" xfId="0" applyFont="1" applyFill="1" applyBorder="1" applyAlignment="1">
      <alignment horizontal="center"/>
    </xf>
    <xf numFmtId="0" fontId="53" fillId="15" borderId="65" xfId="0" applyFont="1" applyFill="1" applyBorder="1" applyAlignment="1">
      <alignment horizontal="center"/>
    </xf>
    <xf numFmtId="0" fontId="0" fillId="0" borderId="65" xfId="0" applyBorder="1" applyAlignment="1">
      <alignment horizontal="center"/>
    </xf>
    <xf numFmtId="0" fontId="50" fillId="0" borderId="0" xfId="0" applyFont="1" applyAlignment="1">
      <alignment horizontal="center"/>
    </xf>
    <xf numFmtId="0" fontId="1" fillId="0" borderId="34" xfId="0" applyFont="1" applyBorder="1" applyAlignment="1">
      <alignment horizontal="center"/>
    </xf>
    <xf numFmtId="0" fontId="1" fillId="0" borderId="74" xfId="0" applyFont="1" applyBorder="1" applyAlignment="1">
      <alignment horizontal="center"/>
    </xf>
    <xf numFmtId="0" fontId="1" fillId="0" borderId="75" xfId="0" applyFont="1" applyBorder="1" applyAlignment="1">
      <alignment horizontal="center"/>
    </xf>
    <xf numFmtId="0" fontId="1" fillId="0" borderId="68" xfId="0" applyFont="1" applyBorder="1" applyAlignment="1">
      <alignment horizontal="center"/>
    </xf>
    <xf numFmtId="0" fontId="1" fillId="0" borderId="69" xfId="0" applyFont="1" applyBorder="1" applyAlignment="1">
      <alignment horizontal="center"/>
    </xf>
    <xf numFmtId="0" fontId="1" fillId="0" borderId="67" xfId="0" applyFont="1" applyBorder="1" applyAlignment="1">
      <alignment horizontal="center"/>
    </xf>
    <xf numFmtId="0" fontId="4" fillId="3" borderId="1" xfId="0" applyFont="1" applyFill="1" applyBorder="1" applyAlignment="1">
      <alignment horizontal="center" vertical="center" wrapText="1"/>
    </xf>
    <xf numFmtId="0" fontId="7" fillId="0" borderId="0" xfId="0" applyFont="1" applyAlignment="1">
      <alignment horizontal="center"/>
    </xf>
    <xf numFmtId="0" fontId="0" fillId="0" borderId="0" xfId="0" applyAlignment="1">
      <alignment horizontal="left" vertical="top" wrapText="1"/>
    </xf>
    <xf numFmtId="0" fontId="0" fillId="13" borderId="63" xfId="0" applyFill="1" applyBorder="1" applyAlignment="1">
      <alignment horizontal="center"/>
    </xf>
    <xf numFmtId="0" fontId="0" fillId="13" borderId="64" xfId="0" applyFill="1" applyBorder="1" applyAlignment="1">
      <alignment horizontal="center"/>
    </xf>
    <xf numFmtId="0" fontId="0" fillId="13" borderId="65" xfId="0" applyFill="1" applyBorder="1" applyAlignment="1">
      <alignment horizontal="center"/>
    </xf>
    <xf numFmtId="0" fontId="0" fillId="15" borderId="63" xfId="0" applyFill="1" applyBorder="1" applyAlignment="1">
      <alignment horizontal="center"/>
    </xf>
    <xf numFmtId="0" fontId="0" fillId="15" borderId="64" xfId="0" applyFill="1" applyBorder="1" applyAlignment="1">
      <alignment horizontal="center"/>
    </xf>
    <xf numFmtId="0" fontId="0" fillId="15" borderId="65" xfId="0" applyFill="1" applyBorder="1" applyAlignment="1">
      <alignment horizontal="center"/>
    </xf>
    <xf numFmtId="0" fontId="0" fillId="9" borderId="63" xfId="0" applyFill="1" applyBorder="1" applyAlignment="1">
      <alignment horizontal="center"/>
    </xf>
    <xf numFmtId="0" fontId="0" fillId="9" borderId="64" xfId="0" applyFill="1" applyBorder="1" applyAlignment="1">
      <alignment horizontal="center"/>
    </xf>
    <xf numFmtId="0" fontId="0" fillId="9" borderId="65" xfId="0" applyFill="1" applyBorder="1" applyAlignment="1">
      <alignment horizontal="center"/>
    </xf>
    <xf numFmtId="0" fontId="0" fillId="14" borderId="63" xfId="0" applyFill="1" applyBorder="1" applyAlignment="1">
      <alignment horizontal="center"/>
    </xf>
    <xf numFmtId="0" fontId="0" fillId="14" borderId="64" xfId="0" applyFill="1" applyBorder="1" applyAlignment="1">
      <alignment horizontal="center"/>
    </xf>
    <xf numFmtId="0" fontId="0" fillId="14" borderId="65" xfId="0" applyFill="1" applyBorder="1" applyAlignment="1">
      <alignment horizontal="center"/>
    </xf>
    <xf numFmtId="0" fontId="0" fillId="16" borderId="63" xfId="0" applyFill="1" applyBorder="1" applyAlignment="1">
      <alignment horizontal="center"/>
    </xf>
    <xf numFmtId="0" fontId="0" fillId="16" borderId="64" xfId="0" applyFill="1" applyBorder="1" applyAlignment="1">
      <alignment horizontal="center"/>
    </xf>
    <xf numFmtId="0" fontId="0" fillId="16" borderId="65" xfId="0" applyFill="1" applyBorder="1" applyAlignment="1">
      <alignment horizontal="center"/>
    </xf>
    <xf numFmtId="0" fontId="1" fillId="12" borderId="41" xfId="0" applyFont="1" applyFill="1" applyBorder="1" applyAlignment="1">
      <alignment horizontal="center"/>
    </xf>
    <xf numFmtId="0" fontId="47" fillId="0" borderId="5" xfId="0" applyFont="1" applyBorder="1" applyAlignment="1">
      <alignment horizontal="center" vertical="center" wrapText="1"/>
    </xf>
    <xf numFmtId="0" fontId="47" fillId="0" borderId="28" xfId="0" applyFont="1" applyBorder="1" applyAlignment="1">
      <alignment horizontal="center" vertical="center" wrapText="1"/>
    </xf>
    <xf numFmtId="0" fontId="47" fillId="0" borderId="6" xfId="0" applyFont="1" applyBorder="1" applyAlignment="1">
      <alignment horizontal="center" vertical="center" wrapText="1"/>
    </xf>
    <xf numFmtId="0" fontId="20" fillId="0" borderId="0" xfId="0" applyFont="1" applyAlignment="1">
      <alignment horizontal="center"/>
    </xf>
    <xf numFmtId="0" fontId="26" fillId="3" borderId="46" xfId="0" applyFont="1" applyFill="1" applyBorder="1" applyAlignment="1">
      <alignment horizontal="center" vertical="center" wrapText="1"/>
    </xf>
    <xf numFmtId="0" fontId="26" fillId="3" borderId="49" xfId="0" applyFont="1" applyFill="1" applyBorder="1" applyAlignment="1">
      <alignment horizontal="center" vertical="center" wrapText="1"/>
    </xf>
    <xf numFmtId="0" fontId="26" fillId="3" borderId="50" xfId="0" applyFont="1" applyFill="1" applyBorder="1" applyAlignment="1">
      <alignment horizontal="center" vertical="center" wrapText="1"/>
    </xf>
    <xf numFmtId="0" fontId="19" fillId="0" borderId="0" xfId="0" applyFont="1" applyAlignment="1">
      <alignment horizontal="left" vertical="top" wrapText="1"/>
    </xf>
    <xf numFmtId="0" fontId="19" fillId="0" borderId="0" xfId="0" applyFont="1" applyBorder="1" applyAlignment="1">
      <alignment horizontal="left" vertical="top" wrapText="1"/>
    </xf>
    <xf numFmtId="0" fontId="26" fillId="3" borderId="60" xfId="0" applyFont="1" applyFill="1" applyBorder="1" applyAlignment="1">
      <alignment horizontal="center" vertical="center" wrapText="1"/>
    </xf>
    <xf numFmtId="0" fontId="26" fillId="3" borderId="61" xfId="0" applyFont="1" applyFill="1" applyBorder="1" applyAlignment="1">
      <alignment horizontal="center" vertical="center" wrapText="1"/>
    </xf>
    <xf numFmtId="0" fontId="26" fillId="3" borderId="62" xfId="0" applyFont="1" applyFill="1" applyBorder="1" applyAlignment="1">
      <alignment horizontal="center" vertical="center" wrapText="1"/>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2" xfId="0" applyFill="1" applyBorder="1" applyAlignment="1">
      <alignment horizontal="center" vertic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3" borderId="20"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22" xfId="0" applyFill="1" applyBorder="1" applyAlignment="1">
      <alignment horizontal="center" vertical="center" wrapText="1"/>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0" fillId="3" borderId="20" xfId="0" applyFill="1" applyBorder="1" applyAlignment="1">
      <alignment horizontal="center"/>
    </xf>
    <xf numFmtId="0" fontId="0" fillId="3" borderId="22" xfId="0" applyFill="1" applyBorder="1" applyAlignment="1">
      <alignment horizontal="center"/>
    </xf>
    <xf numFmtId="0" fontId="0" fillId="3" borderId="3" xfId="0" applyFill="1" applyBorder="1" applyAlignment="1">
      <alignment horizontal="center" vertical="center"/>
    </xf>
    <xf numFmtId="0" fontId="0" fillId="3" borderId="31" xfId="0" applyFill="1" applyBorder="1" applyAlignment="1">
      <alignment horizontal="center" vertical="center" wrapText="1"/>
    </xf>
    <xf numFmtId="0" fontId="0" fillId="3" borderId="32" xfId="0" applyFill="1" applyBorder="1" applyAlignment="1">
      <alignment horizontal="center" vertical="center" wrapText="1"/>
    </xf>
    <xf numFmtId="0" fontId="0" fillId="3" borderId="24" xfId="0" applyFill="1" applyBorder="1" applyAlignment="1">
      <alignment horizontal="center" vertical="center"/>
    </xf>
    <xf numFmtId="0" fontId="0" fillId="3" borderId="23" xfId="0" applyFill="1" applyBorder="1" applyAlignment="1">
      <alignment horizontal="center" vertical="center"/>
    </xf>
    <xf numFmtId="0" fontId="0" fillId="3" borderId="2" xfId="0" applyFill="1" applyBorder="1" applyAlignment="1">
      <alignment horizontal="center" wrapText="1"/>
    </xf>
    <xf numFmtId="0" fontId="0" fillId="3" borderId="4" xfId="0" applyFill="1" applyBorder="1" applyAlignment="1">
      <alignment horizontal="center" wrapText="1"/>
    </xf>
  </cellXfs>
  <cellStyles count="5">
    <cellStyle name="Bad" xfId="3" builtinId="27"/>
    <cellStyle name="Currency" xfId="4" builtinId="4"/>
    <cellStyle name="Input" xfId="1" builtinId="20"/>
    <cellStyle name="Normal" xfId="0" builtinId="0"/>
    <cellStyle name="Percent" xfId="2" builtinId="5"/>
  </cellStyles>
  <dxfs count="0"/>
  <tableStyles count="0" defaultTableStyle="TableStyleMedium2" defaultPivotStyle="PivotStyleLight16"/>
  <colors>
    <mruColors>
      <color rgb="FF9999FF"/>
      <color rgb="FF6EEDFE"/>
      <color rgb="FF66CCFF"/>
      <color rgb="FF35E5FD"/>
      <color rgb="FFFF6161"/>
      <color rgb="FFFF66FF"/>
      <color rgb="FFECEDED"/>
      <color rgb="FFCC7B29"/>
      <color rgb="FF0F385A"/>
      <color rgb="FF5B9B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475-4303-B31E-1AF3EE3B6E4D}"/>
              </c:ext>
            </c:extLst>
          </c:dPt>
          <c:dPt>
            <c:idx val="1"/>
            <c:bubble3D val="0"/>
            <c:spPr>
              <a:solidFill>
                <a:schemeClr val="bg1"/>
              </a:solidFill>
              <a:ln w="38100">
                <a:solidFill>
                  <a:schemeClr val="accent1"/>
                </a:solidFill>
              </a:ln>
              <a:effectLst/>
            </c:spPr>
            <c:extLst>
              <c:ext xmlns:c16="http://schemas.microsoft.com/office/drawing/2014/chart" uri="{C3380CC4-5D6E-409C-BE32-E72D297353CC}">
                <c16:uniqueId val="{00000012-1956-489F-B5B0-7FF97E765C7D}"/>
              </c:ext>
            </c:extLst>
          </c:dPt>
          <c:val>
            <c:numRef>
              <c:f>'Qualitative Matrix - Draft Alts'!$G$26:$G$27</c:f>
              <c:numCache>
                <c:formatCode>0%</c:formatCode>
                <c:ptCount val="2"/>
                <c:pt idx="0">
                  <c:v>0.27500000000000002</c:v>
                </c:pt>
                <c:pt idx="1">
                  <c:v>0.72499999999999998</c:v>
                </c:pt>
              </c:numCache>
            </c:numRef>
          </c:val>
          <c:extLst>
            <c:ext xmlns:c16="http://schemas.microsoft.com/office/drawing/2014/chart" uri="{C3380CC4-5D6E-409C-BE32-E72D297353CC}">
              <c16:uniqueId val="{00000011-1956-489F-B5B0-7FF97E765C7D}"/>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57E-43DB-9A7B-04DF4A33D853}"/>
              </c:ext>
            </c:extLst>
          </c:dPt>
          <c:dPt>
            <c:idx val="1"/>
            <c:bubble3D val="0"/>
            <c:spPr>
              <a:solidFill>
                <a:sysClr val="window" lastClr="FFFFFF"/>
              </a:solidFill>
              <a:ln w="38100">
                <a:solidFill>
                  <a:schemeClr val="accent1"/>
                </a:solidFill>
              </a:ln>
              <a:effectLst/>
            </c:spPr>
            <c:extLst>
              <c:ext xmlns:c16="http://schemas.microsoft.com/office/drawing/2014/chart" uri="{C3380CC4-5D6E-409C-BE32-E72D297353CC}">
                <c16:uniqueId val="{00000003-E57E-43DB-9A7B-04DF4A33D853}"/>
              </c:ext>
            </c:extLst>
          </c:dPt>
          <c:val>
            <c:numRef>
              <c:f>'Qualitative Matrix - Draft Alts'!$I$26:$I$27</c:f>
              <c:numCache>
                <c:formatCode>0%</c:formatCode>
                <c:ptCount val="2"/>
                <c:pt idx="0">
                  <c:v>0.57499999999999996</c:v>
                </c:pt>
                <c:pt idx="1">
                  <c:v>0.42500000000000004</c:v>
                </c:pt>
              </c:numCache>
            </c:numRef>
          </c:val>
          <c:extLst>
            <c:ext xmlns:c16="http://schemas.microsoft.com/office/drawing/2014/chart" uri="{C3380CC4-5D6E-409C-BE32-E72D297353CC}">
              <c16:uniqueId val="{00000004-E57E-43DB-9A7B-04DF4A33D853}"/>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899-49DD-A729-09B6A3212D7A}"/>
              </c:ext>
            </c:extLst>
          </c:dPt>
          <c:dPt>
            <c:idx val="1"/>
            <c:bubble3D val="0"/>
            <c:spPr>
              <a:solidFill>
                <a:schemeClr val="bg1"/>
              </a:solidFill>
              <a:ln w="38100">
                <a:solidFill>
                  <a:schemeClr val="accent1"/>
                </a:solidFill>
              </a:ln>
              <a:effectLst/>
            </c:spPr>
            <c:extLst>
              <c:ext xmlns:c16="http://schemas.microsoft.com/office/drawing/2014/chart" uri="{C3380CC4-5D6E-409C-BE32-E72D297353CC}">
                <c16:uniqueId val="{00000003-A899-49DD-A729-09B6A3212D7A}"/>
              </c:ext>
            </c:extLst>
          </c:dPt>
          <c:val>
            <c:numRef>
              <c:f>'Qualitative Matrix - Draft Alts'!$K$26:$K$27</c:f>
              <c:numCache>
                <c:formatCode>0%</c:formatCode>
                <c:ptCount val="2"/>
                <c:pt idx="0">
                  <c:v>0.6</c:v>
                </c:pt>
                <c:pt idx="1">
                  <c:v>0.4</c:v>
                </c:pt>
              </c:numCache>
            </c:numRef>
          </c:val>
          <c:extLst>
            <c:ext xmlns:c16="http://schemas.microsoft.com/office/drawing/2014/chart" uri="{C3380CC4-5D6E-409C-BE32-E72D297353CC}">
              <c16:uniqueId val="{00000004-A899-49DD-A729-09B6A3212D7A}"/>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9EC-41B9-AAD7-327B23CF27DC}"/>
              </c:ext>
            </c:extLst>
          </c:dPt>
          <c:dPt>
            <c:idx val="1"/>
            <c:bubble3D val="0"/>
            <c:spPr>
              <a:solidFill>
                <a:schemeClr val="bg1"/>
              </a:solidFill>
              <a:ln w="38100">
                <a:solidFill>
                  <a:schemeClr val="accent1"/>
                </a:solidFill>
              </a:ln>
              <a:effectLst/>
            </c:spPr>
            <c:extLst>
              <c:ext xmlns:c16="http://schemas.microsoft.com/office/drawing/2014/chart" uri="{C3380CC4-5D6E-409C-BE32-E72D297353CC}">
                <c16:uniqueId val="{00000003-F9EC-41B9-AAD7-327B23CF27DC}"/>
              </c:ext>
            </c:extLst>
          </c:dPt>
          <c:val>
            <c:numRef>
              <c:f>'Qualitative Matrix - Draft Alts'!$M$26:$M$27</c:f>
              <c:numCache>
                <c:formatCode>0%</c:formatCode>
                <c:ptCount val="2"/>
                <c:pt idx="0">
                  <c:v>0.52500000000000002</c:v>
                </c:pt>
                <c:pt idx="1">
                  <c:v>0.47499999999999998</c:v>
                </c:pt>
              </c:numCache>
            </c:numRef>
          </c:val>
          <c:extLst>
            <c:ext xmlns:c16="http://schemas.microsoft.com/office/drawing/2014/chart" uri="{C3380CC4-5D6E-409C-BE32-E72D297353CC}">
              <c16:uniqueId val="{00000004-F9EC-41B9-AAD7-327B23CF27DC}"/>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72F-4E4B-8475-869FC80E1DBB}"/>
              </c:ext>
            </c:extLst>
          </c:dPt>
          <c:dPt>
            <c:idx val="1"/>
            <c:bubble3D val="0"/>
            <c:spPr>
              <a:solidFill>
                <a:schemeClr val="bg1"/>
              </a:solidFill>
              <a:ln w="38100">
                <a:solidFill>
                  <a:schemeClr val="accent1"/>
                </a:solidFill>
              </a:ln>
              <a:effectLst/>
            </c:spPr>
            <c:extLst>
              <c:ext xmlns:c16="http://schemas.microsoft.com/office/drawing/2014/chart" uri="{C3380CC4-5D6E-409C-BE32-E72D297353CC}">
                <c16:uniqueId val="{00000003-B72F-4E4B-8475-869FC80E1DBB}"/>
              </c:ext>
            </c:extLst>
          </c:dPt>
          <c:val>
            <c:numRef>
              <c:f>'Qualitative Matrix - Draft Alts'!$Q$26:$Q$27</c:f>
              <c:numCache>
                <c:formatCode>0%</c:formatCode>
                <c:ptCount val="2"/>
                <c:pt idx="0">
                  <c:v>0.55000000000000004</c:v>
                </c:pt>
                <c:pt idx="1">
                  <c:v>0.44999999999999996</c:v>
                </c:pt>
              </c:numCache>
            </c:numRef>
          </c:val>
          <c:extLst>
            <c:ext xmlns:c16="http://schemas.microsoft.com/office/drawing/2014/chart" uri="{C3380CC4-5D6E-409C-BE32-E72D297353CC}">
              <c16:uniqueId val="{00000004-B72F-4E4B-8475-869FC80E1DBB}"/>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'Qualitative Matrix - Draft Alts'!$E$24</c:f>
              <c:strCache>
                <c:ptCount val="1"/>
                <c:pt idx="0">
                  <c:v>Total Score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E10-47CE-82E8-63A1343CDBDF}"/>
              </c:ext>
            </c:extLst>
          </c:dPt>
          <c:dPt>
            <c:idx val="1"/>
            <c:bubble3D val="0"/>
            <c:spPr>
              <a:solidFill>
                <a:schemeClr val="bg1"/>
              </a:solidFill>
              <a:ln w="38100">
                <a:solidFill>
                  <a:schemeClr val="accent1"/>
                </a:solidFill>
              </a:ln>
              <a:effectLst/>
            </c:spPr>
            <c:extLst>
              <c:ext xmlns:c16="http://schemas.microsoft.com/office/drawing/2014/chart" uri="{C3380CC4-5D6E-409C-BE32-E72D297353CC}">
                <c16:uniqueId val="{00000003-AE10-47CE-82E8-63A1343CDBDF}"/>
              </c:ext>
            </c:extLst>
          </c:dPt>
          <c:val>
            <c:numRef>
              <c:f>'Qualitative Matrix - Draft Alts'!$O$26:$O$27</c:f>
              <c:numCache>
                <c:formatCode>0%</c:formatCode>
                <c:ptCount val="2"/>
                <c:pt idx="0">
                  <c:v>0.5</c:v>
                </c:pt>
                <c:pt idx="1">
                  <c:v>0.5</c:v>
                </c:pt>
              </c:numCache>
            </c:numRef>
          </c:val>
          <c:extLst>
            <c:ext xmlns:c16="http://schemas.microsoft.com/office/drawing/2014/chart" uri="{C3380CC4-5D6E-409C-BE32-E72D297353CC}">
              <c16:uniqueId val="{00000004-AE10-47CE-82E8-63A1343CDBDF}"/>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6</xdr:col>
      <xdr:colOff>19051</xdr:colOff>
      <xdr:row>16</xdr:row>
      <xdr:rowOff>552450</xdr:rowOff>
    </xdr:from>
    <xdr:to>
      <xdr:col>7</xdr:col>
      <xdr:colOff>0</xdr:colOff>
      <xdr:row>18</xdr:row>
      <xdr:rowOff>0</xdr:rowOff>
    </xdr:to>
    <xdr:graphicFrame macro="">
      <xdr:nvGraphicFramePr>
        <xdr:cNvPr id="2" name="Chart 1">
          <a:extLst>
            <a:ext uri="{FF2B5EF4-FFF2-40B4-BE49-F238E27FC236}">
              <a16:creationId xmlns:a16="http://schemas.microsoft.com/office/drawing/2014/main" id="{72201079-09CE-49F8-9939-E34B1B15B6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17</xdr:row>
      <xdr:rowOff>0</xdr:rowOff>
    </xdr:from>
    <xdr:to>
      <xdr:col>9</xdr:col>
      <xdr:colOff>19049</xdr:colOff>
      <xdr:row>17</xdr:row>
      <xdr:rowOff>1028700</xdr:rowOff>
    </xdr:to>
    <xdr:graphicFrame macro="">
      <xdr:nvGraphicFramePr>
        <xdr:cNvPr id="3" name="Chart 2">
          <a:extLst>
            <a:ext uri="{FF2B5EF4-FFF2-40B4-BE49-F238E27FC236}">
              <a16:creationId xmlns:a16="http://schemas.microsoft.com/office/drawing/2014/main" id="{55B15B6E-60E3-4ABF-8B76-2D15341E33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17</xdr:row>
      <xdr:rowOff>0</xdr:rowOff>
    </xdr:from>
    <xdr:to>
      <xdr:col>11</xdr:col>
      <xdr:colOff>19049</xdr:colOff>
      <xdr:row>17</xdr:row>
      <xdr:rowOff>1028700</xdr:rowOff>
    </xdr:to>
    <xdr:graphicFrame macro="">
      <xdr:nvGraphicFramePr>
        <xdr:cNvPr id="4" name="Chart 3">
          <a:extLst>
            <a:ext uri="{FF2B5EF4-FFF2-40B4-BE49-F238E27FC236}">
              <a16:creationId xmlns:a16="http://schemas.microsoft.com/office/drawing/2014/main" id="{5767496E-8719-491A-8B3E-EEDBA31CF5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0</xdr:colOff>
      <xdr:row>17</xdr:row>
      <xdr:rowOff>0</xdr:rowOff>
    </xdr:from>
    <xdr:to>
      <xdr:col>13</xdr:col>
      <xdr:colOff>19049</xdr:colOff>
      <xdr:row>17</xdr:row>
      <xdr:rowOff>1028700</xdr:rowOff>
    </xdr:to>
    <xdr:graphicFrame macro="">
      <xdr:nvGraphicFramePr>
        <xdr:cNvPr id="5" name="Chart 4">
          <a:extLst>
            <a:ext uri="{FF2B5EF4-FFF2-40B4-BE49-F238E27FC236}">
              <a16:creationId xmlns:a16="http://schemas.microsoft.com/office/drawing/2014/main" id="{5B938835-3F11-4891-9718-EBB6774AB9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17</xdr:row>
      <xdr:rowOff>0</xdr:rowOff>
    </xdr:from>
    <xdr:to>
      <xdr:col>17</xdr:col>
      <xdr:colOff>19049</xdr:colOff>
      <xdr:row>17</xdr:row>
      <xdr:rowOff>1028700</xdr:rowOff>
    </xdr:to>
    <xdr:graphicFrame macro="">
      <xdr:nvGraphicFramePr>
        <xdr:cNvPr id="7" name="Chart 6">
          <a:extLst>
            <a:ext uri="{FF2B5EF4-FFF2-40B4-BE49-F238E27FC236}">
              <a16:creationId xmlns:a16="http://schemas.microsoft.com/office/drawing/2014/main" id="{F1902910-3489-456B-96E3-690ADF5939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0</xdr:colOff>
      <xdr:row>17</xdr:row>
      <xdr:rowOff>0</xdr:rowOff>
    </xdr:from>
    <xdr:to>
      <xdr:col>15</xdr:col>
      <xdr:colOff>19049</xdr:colOff>
      <xdr:row>17</xdr:row>
      <xdr:rowOff>1028700</xdr:rowOff>
    </xdr:to>
    <xdr:graphicFrame macro="">
      <xdr:nvGraphicFramePr>
        <xdr:cNvPr id="8" name="Chart 7">
          <a:extLst>
            <a:ext uri="{FF2B5EF4-FFF2-40B4-BE49-F238E27FC236}">
              <a16:creationId xmlns:a16="http://schemas.microsoft.com/office/drawing/2014/main" id="{CB877834-AB7D-4BF1-9468-3DAAACDCF1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A3CBC-4DFE-432C-9D79-94F7C6FBAECE}">
  <sheetPr>
    <tabColor rgb="FFFF0000"/>
  </sheetPr>
  <dimension ref="B1:T36"/>
  <sheetViews>
    <sheetView zoomScale="85" zoomScaleNormal="85" workbookViewId="0">
      <selection activeCell="F42" sqref="F42"/>
    </sheetView>
  </sheetViews>
  <sheetFormatPr defaultRowHeight="15"/>
  <cols>
    <col min="1" max="1" width="9.28515625" customWidth="1"/>
    <col min="2" max="2" width="10.42578125" bestFit="1" customWidth="1"/>
    <col min="4" max="4" width="8.42578125" bestFit="1" customWidth="1"/>
    <col min="5" max="5" width="9.7109375" bestFit="1" customWidth="1"/>
    <col min="17" max="17" width="18" bestFit="1" customWidth="1"/>
    <col min="18" max="18" width="17.28515625" customWidth="1"/>
  </cols>
  <sheetData>
    <row r="1" spans="2:20" ht="15.75" thickBot="1"/>
    <row r="2" spans="2:20">
      <c r="B2" s="303" t="s">
        <v>90</v>
      </c>
      <c r="C2" s="304"/>
      <c r="D2" s="304"/>
      <c r="E2" s="304"/>
      <c r="F2" s="304"/>
      <c r="G2" s="304"/>
      <c r="H2" s="304"/>
      <c r="I2" s="304"/>
      <c r="J2" s="304"/>
      <c r="K2" s="304"/>
      <c r="L2" s="304"/>
      <c r="M2" s="304"/>
      <c r="N2" s="304"/>
      <c r="O2" s="304"/>
    </row>
    <row r="3" spans="2:20">
      <c r="B3" s="11"/>
      <c r="C3" s="305" t="s">
        <v>242</v>
      </c>
      <c r="D3" s="305"/>
      <c r="E3" s="305"/>
      <c r="F3" s="305"/>
      <c r="G3" s="305" t="s">
        <v>245</v>
      </c>
      <c r="H3" s="305"/>
      <c r="I3" s="305"/>
      <c r="J3" s="305" t="s">
        <v>246</v>
      </c>
      <c r="K3" s="305"/>
      <c r="L3" s="305"/>
      <c r="M3" s="305" t="s">
        <v>244</v>
      </c>
      <c r="N3" s="305"/>
      <c r="O3" s="305"/>
    </row>
    <row r="4" spans="2:20" ht="15.75" thickBot="1">
      <c r="B4" s="308" t="s">
        <v>255</v>
      </c>
      <c r="C4" s="309"/>
      <c r="D4" s="309"/>
      <c r="E4" s="194">
        <v>0</v>
      </c>
      <c r="F4" s="194"/>
      <c r="G4" s="194">
        <v>0</v>
      </c>
      <c r="H4" s="194"/>
      <c r="I4" s="194"/>
      <c r="J4" s="194">
        <v>0</v>
      </c>
      <c r="K4" s="194"/>
      <c r="L4" s="194"/>
      <c r="M4" s="194">
        <v>0</v>
      </c>
      <c r="N4" s="194"/>
      <c r="O4" s="194"/>
    </row>
    <row r="5" spans="2:20" ht="15.75" thickBot="1">
      <c r="B5" s="310" t="s">
        <v>256</v>
      </c>
      <c r="C5" s="310"/>
      <c r="D5" s="310"/>
      <c r="E5" s="223">
        <v>4</v>
      </c>
      <c r="F5" s="223"/>
      <c r="G5" s="223">
        <v>4</v>
      </c>
      <c r="H5" s="223"/>
      <c r="I5" s="223"/>
      <c r="J5" s="223">
        <v>4</v>
      </c>
      <c r="K5" s="223"/>
      <c r="L5" s="223"/>
      <c r="M5" s="223">
        <v>4</v>
      </c>
      <c r="N5" s="223"/>
      <c r="O5" s="223"/>
    </row>
    <row r="6" spans="2:20" ht="16.5" thickTop="1" thickBot="1"/>
    <row r="7" spans="2:20">
      <c r="B7" s="311" t="s">
        <v>294</v>
      </c>
      <c r="C7" s="312"/>
      <c r="D7" s="312"/>
      <c r="E7" s="312"/>
      <c r="F7" s="312"/>
      <c r="G7" s="312"/>
      <c r="H7" s="312"/>
      <c r="I7" s="312"/>
      <c r="J7" s="312"/>
      <c r="K7" s="312"/>
      <c r="L7" s="312"/>
      <c r="M7" s="312"/>
      <c r="N7" s="312"/>
      <c r="O7" s="313"/>
      <c r="Q7" s="307" t="s">
        <v>258</v>
      </c>
      <c r="R7" s="307"/>
      <c r="S7" s="307"/>
    </row>
    <row r="8" spans="2:20">
      <c r="B8" s="11"/>
      <c r="C8" s="305" t="s">
        <v>242</v>
      </c>
      <c r="D8" s="305"/>
      <c r="E8" s="305"/>
      <c r="F8" s="305"/>
      <c r="G8" s="305" t="s">
        <v>245</v>
      </c>
      <c r="H8" s="305"/>
      <c r="I8" s="305"/>
      <c r="J8" s="305" t="s">
        <v>246</v>
      </c>
      <c r="K8" s="305"/>
      <c r="L8" s="305"/>
      <c r="M8" s="305" t="s">
        <v>244</v>
      </c>
      <c r="N8" s="305"/>
      <c r="O8" s="306"/>
      <c r="Q8">
        <f>MIN(E14,E24,E34,E44,E54,E4)</f>
        <v>0</v>
      </c>
      <c r="R8">
        <f>R11*0.15</f>
        <v>0</v>
      </c>
      <c r="S8">
        <v>4</v>
      </c>
      <c r="T8" t="s">
        <v>260</v>
      </c>
    </row>
    <row r="9" spans="2:20">
      <c r="B9" s="260"/>
      <c r="C9" s="256" t="s">
        <v>248</v>
      </c>
      <c r="D9" s="26" t="s">
        <v>253</v>
      </c>
      <c r="E9" s="26" t="s">
        <v>254</v>
      </c>
      <c r="F9" s="26"/>
      <c r="G9" s="305" t="s">
        <v>252</v>
      </c>
      <c r="H9" s="305"/>
      <c r="I9" s="305"/>
      <c r="J9" s="305" t="s">
        <v>252</v>
      </c>
      <c r="K9" s="305"/>
      <c r="L9" s="305"/>
      <c r="M9" s="305" t="s">
        <v>248</v>
      </c>
      <c r="N9" s="305"/>
      <c r="O9" s="306"/>
      <c r="Q9">
        <f>R8</f>
        <v>0</v>
      </c>
      <c r="R9">
        <f>AVERAGE(R11,Q8)</f>
        <v>0</v>
      </c>
      <c r="S9">
        <v>3</v>
      </c>
    </row>
    <row r="10" spans="2:20">
      <c r="B10" s="260" t="s">
        <v>247</v>
      </c>
      <c r="C10" s="256"/>
      <c r="D10" s="26">
        <v>2</v>
      </c>
      <c r="E10" s="26">
        <f>C10*D10</f>
        <v>0</v>
      </c>
      <c r="F10" s="26"/>
      <c r="G10" s="76">
        <v>9</v>
      </c>
      <c r="H10" s="76"/>
      <c r="I10" s="76"/>
      <c r="J10" s="76">
        <v>13</v>
      </c>
      <c r="K10" s="26"/>
      <c r="L10" s="26"/>
      <c r="M10" s="255">
        <f>0.219+0.0015+0.1226+0.778+0.1402+0.7166+0.511+0.615+1.5006+0.2107+0.5545+0.5955+0.3167+0.0788+0.3062+13.7503+19.4009+64.6871</f>
        <v>104.5052</v>
      </c>
      <c r="N10" s="26"/>
      <c r="O10" s="189"/>
      <c r="Q10">
        <f>AVERAGE(R11,Q8)</f>
        <v>0</v>
      </c>
      <c r="R10">
        <f>Q11</f>
        <v>0</v>
      </c>
      <c r="S10">
        <v>2</v>
      </c>
    </row>
    <row r="11" spans="2:20">
      <c r="B11" s="260" t="s">
        <v>249</v>
      </c>
      <c r="C11" s="256"/>
      <c r="D11" s="26">
        <v>5</v>
      </c>
      <c r="E11" s="26">
        <f t="shared" ref="E11:E13" si="0">C11*D11</f>
        <v>0</v>
      </c>
      <c r="F11" s="26"/>
      <c r="G11" s="26"/>
      <c r="H11" s="26"/>
      <c r="I11" s="26"/>
      <c r="J11" s="26"/>
      <c r="K11" s="26"/>
      <c r="L11" s="26"/>
      <c r="M11" s="26"/>
      <c r="N11" s="26"/>
      <c r="O11" s="189"/>
      <c r="Q11">
        <f>R11*0.85</f>
        <v>0</v>
      </c>
      <c r="R11">
        <f>MAX(E14,E24,E34,E44,E54)</f>
        <v>0</v>
      </c>
      <c r="S11">
        <v>1</v>
      </c>
      <c r="T11" t="s">
        <v>261</v>
      </c>
    </row>
    <row r="12" spans="2:20">
      <c r="B12" s="260" t="s">
        <v>250</v>
      </c>
      <c r="C12" s="261"/>
      <c r="D12" s="26">
        <v>0.5</v>
      </c>
      <c r="E12" s="26">
        <f t="shared" si="0"/>
        <v>0</v>
      </c>
      <c r="F12" s="26"/>
      <c r="G12" s="26"/>
      <c r="H12" s="26"/>
      <c r="I12" s="26"/>
      <c r="J12" s="26"/>
      <c r="K12" s="26"/>
      <c r="L12" s="26"/>
      <c r="M12" s="26"/>
      <c r="N12" s="26"/>
      <c r="O12" s="189"/>
    </row>
    <row r="13" spans="2:20">
      <c r="B13" s="260" t="s">
        <v>251</v>
      </c>
      <c r="C13" s="256"/>
      <c r="D13" s="26">
        <v>1</v>
      </c>
      <c r="E13" s="26">
        <f t="shared" si="0"/>
        <v>0</v>
      </c>
      <c r="F13" s="26"/>
      <c r="G13" s="26"/>
      <c r="H13" s="26"/>
      <c r="I13" s="26"/>
      <c r="J13" s="26"/>
      <c r="K13" s="26"/>
      <c r="L13" s="26"/>
      <c r="M13" s="26"/>
      <c r="N13" s="26"/>
      <c r="O13" s="189"/>
      <c r="Q13" s="307" t="s">
        <v>257</v>
      </c>
      <c r="R13" s="307"/>
      <c r="S13" s="307"/>
    </row>
    <row r="14" spans="2:20" ht="15.75" thickBot="1">
      <c r="B14" s="308" t="s">
        <v>255</v>
      </c>
      <c r="C14" s="309"/>
      <c r="D14" s="309"/>
      <c r="E14" s="190">
        <f>SUM(E10:E13)</f>
        <v>0</v>
      </c>
      <c r="F14" s="190"/>
      <c r="G14" s="190"/>
      <c r="H14" s="190"/>
      <c r="I14" s="190"/>
      <c r="J14" s="190"/>
      <c r="K14" s="190"/>
      <c r="L14" s="190"/>
      <c r="M14" s="190"/>
      <c r="N14" s="190"/>
      <c r="O14" s="191"/>
      <c r="Q14">
        <f>MIN(G10,G20,G30,G40,G50,G4)</f>
        <v>0</v>
      </c>
      <c r="R14">
        <f>R17*0.15</f>
        <v>1.65</v>
      </c>
      <c r="S14">
        <v>4</v>
      </c>
      <c r="T14" t="s">
        <v>260</v>
      </c>
    </row>
    <row r="15" spans="2:20" ht="15.75" thickBot="1">
      <c r="B15" s="310" t="s">
        <v>256</v>
      </c>
      <c r="C15" s="310"/>
      <c r="D15" s="310"/>
      <c r="E15" s="223">
        <f>IF(E14&lt;$R$8,$S$8,IF(E14&lt;$R$9,$S$9,IF(E14&lt;$R$10,$S$10,$S$11)))</f>
        <v>1</v>
      </c>
      <c r="F15" s="223"/>
      <c r="G15" s="223">
        <f>IF(G10&lt;$R$14,$S$14,IF(G10&lt;$R$15,$S$15,IF(G10&lt;$R$16,$S$16,$S$17)))</f>
        <v>2</v>
      </c>
      <c r="H15" s="223"/>
      <c r="I15" s="223"/>
      <c r="J15" s="223">
        <f>IF(J10&lt;$R$20,$S$20,IF(J10&lt;$R$21,$S$21,IF(J10&lt;$R$22,$S$22,$S$23)))</f>
        <v>1</v>
      </c>
      <c r="K15" s="223"/>
      <c r="L15" s="223"/>
      <c r="M15" s="223">
        <f>IF(M10&lt;$R$26,$S$26,IF(M10&lt;$R$27,$S$27,IF(M10&lt;$R$28,$S$28,$S$29)))</f>
        <v>1</v>
      </c>
      <c r="N15" s="223"/>
      <c r="O15" s="223"/>
      <c r="Q15">
        <f>R14</f>
        <v>1.65</v>
      </c>
      <c r="R15">
        <f>AVERAGE(R17,Q14)</f>
        <v>5.5</v>
      </c>
      <c r="S15">
        <v>3</v>
      </c>
    </row>
    <row r="16" spans="2:20" ht="16.5" thickTop="1" thickBot="1">
      <c r="Q16">
        <f>AVERAGE(R17,Q14)</f>
        <v>5.5</v>
      </c>
      <c r="R16">
        <f>Q17</f>
        <v>9.35</v>
      </c>
      <c r="S16">
        <v>2</v>
      </c>
    </row>
    <row r="17" spans="2:20">
      <c r="B17" s="314" t="s">
        <v>295</v>
      </c>
      <c r="C17" s="315"/>
      <c r="D17" s="315"/>
      <c r="E17" s="315"/>
      <c r="F17" s="315"/>
      <c r="G17" s="315"/>
      <c r="H17" s="315"/>
      <c r="I17" s="315"/>
      <c r="J17" s="315"/>
      <c r="K17" s="315"/>
      <c r="L17" s="315"/>
      <c r="M17" s="315"/>
      <c r="N17" s="315"/>
      <c r="O17" s="316"/>
      <c r="Q17">
        <f>R17*0.85</f>
        <v>9.35</v>
      </c>
      <c r="R17">
        <f>MAX(G10,G20,G30,G40,G50,G4)</f>
        <v>11</v>
      </c>
      <c r="S17">
        <v>1</v>
      </c>
      <c r="T17" t="s">
        <v>261</v>
      </c>
    </row>
    <row r="18" spans="2:20">
      <c r="B18" s="11"/>
      <c r="C18" s="305" t="s">
        <v>242</v>
      </c>
      <c r="D18" s="305"/>
      <c r="E18" s="305"/>
      <c r="F18" s="305"/>
      <c r="G18" s="305" t="s">
        <v>245</v>
      </c>
      <c r="H18" s="305"/>
      <c r="I18" s="305"/>
      <c r="J18" s="305" t="s">
        <v>246</v>
      </c>
      <c r="K18" s="305"/>
      <c r="L18" s="305"/>
      <c r="M18" s="305" t="s">
        <v>244</v>
      </c>
      <c r="N18" s="305"/>
      <c r="O18" s="306"/>
    </row>
    <row r="19" spans="2:20">
      <c r="B19" s="260"/>
      <c r="C19" s="256" t="s">
        <v>248</v>
      </c>
      <c r="D19" s="26" t="s">
        <v>253</v>
      </c>
      <c r="E19" s="26" t="s">
        <v>254</v>
      </c>
      <c r="F19" s="26"/>
      <c r="G19" s="305" t="s">
        <v>252</v>
      </c>
      <c r="H19" s="305"/>
      <c r="I19" s="305"/>
      <c r="J19" s="305" t="s">
        <v>252</v>
      </c>
      <c r="K19" s="305"/>
      <c r="L19" s="305"/>
      <c r="M19" s="305" t="s">
        <v>248</v>
      </c>
      <c r="N19" s="305"/>
      <c r="O19" s="306"/>
      <c r="Q19" s="307" t="s">
        <v>243</v>
      </c>
      <c r="R19" s="307"/>
      <c r="S19" s="307"/>
    </row>
    <row r="20" spans="2:20">
      <c r="B20" s="260" t="s">
        <v>247</v>
      </c>
      <c r="C20" s="256"/>
      <c r="D20" s="26">
        <v>2</v>
      </c>
      <c r="E20" s="26">
        <f>C20*D20</f>
        <v>0</v>
      </c>
      <c r="F20" s="26"/>
      <c r="G20" s="76">
        <v>8</v>
      </c>
      <c r="H20" s="76"/>
      <c r="I20" s="76"/>
      <c r="J20" s="76">
        <v>10</v>
      </c>
      <c r="K20" s="26"/>
      <c r="L20" s="26"/>
      <c r="M20" s="26">
        <f>0.2314+0.7688+0.149+0.9859+11.4569+4.8012+0.5625+2.3152+0.232+0.044+1.34+0.0077+0.1983+0.0593+0.0455+0.1313+8.3985+4.2813+0.0217+8.6684+13.2965</f>
        <v>57.995400000000004</v>
      </c>
      <c r="N20" s="26"/>
      <c r="O20" s="189"/>
      <c r="Q20">
        <f>MIN(J10,J20,J30,J40,J50,J4)</f>
        <v>0</v>
      </c>
      <c r="R20">
        <f>R23*0.15</f>
        <v>1.95</v>
      </c>
      <c r="S20">
        <v>4</v>
      </c>
      <c r="T20" t="s">
        <v>260</v>
      </c>
    </row>
    <row r="21" spans="2:20">
      <c r="B21" s="260" t="s">
        <v>249</v>
      </c>
      <c r="C21" s="256"/>
      <c r="D21" s="26">
        <v>5</v>
      </c>
      <c r="E21" s="26">
        <f t="shared" ref="E21:E23" si="1">C21*D21</f>
        <v>0</v>
      </c>
      <c r="F21" s="26"/>
      <c r="G21" s="26"/>
      <c r="H21" s="26"/>
      <c r="I21" s="26"/>
      <c r="J21" s="26"/>
      <c r="K21" s="26"/>
      <c r="L21" s="26"/>
      <c r="M21" s="26"/>
      <c r="N21" s="26"/>
      <c r="O21" s="189"/>
      <c r="Q21">
        <f>R20</f>
        <v>1.95</v>
      </c>
      <c r="R21">
        <f>AVERAGE(R23,Q20)</f>
        <v>6.5</v>
      </c>
      <c r="S21">
        <v>3</v>
      </c>
    </row>
    <row r="22" spans="2:20">
      <c r="B22" s="260" t="s">
        <v>250</v>
      </c>
      <c r="C22" s="256"/>
      <c r="D22" s="26">
        <v>0.5</v>
      </c>
      <c r="E22" s="26">
        <f t="shared" si="1"/>
        <v>0</v>
      </c>
      <c r="F22" s="26"/>
      <c r="G22" s="26"/>
      <c r="H22" s="26"/>
      <c r="I22" s="26"/>
      <c r="J22" s="26"/>
      <c r="K22" s="26"/>
      <c r="L22" s="26"/>
      <c r="M22" s="26"/>
      <c r="N22" s="26"/>
      <c r="O22" s="189"/>
      <c r="Q22">
        <f>AVERAGE(R23,Q20)</f>
        <v>6.5</v>
      </c>
      <c r="R22">
        <f>Q23</f>
        <v>11.049999999999999</v>
      </c>
      <c r="S22">
        <v>2</v>
      </c>
    </row>
    <row r="23" spans="2:20">
      <c r="B23" s="260" t="s">
        <v>251</v>
      </c>
      <c r="C23" s="256"/>
      <c r="D23" s="26">
        <v>1</v>
      </c>
      <c r="E23" s="26">
        <f t="shared" si="1"/>
        <v>0</v>
      </c>
      <c r="F23" s="26"/>
      <c r="G23" s="26"/>
      <c r="H23" s="26"/>
      <c r="I23" s="26"/>
      <c r="J23" s="26"/>
      <c r="K23" s="26"/>
      <c r="L23" s="26"/>
      <c r="M23" s="26"/>
      <c r="N23" s="26"/>
      <c r="O23" s="189"/>
      <c r="Q23">
        <f>R23*0.85</f>
        <v>11.049999999999999</v>
      </c>
      <c r="R23">
        <f>MAX(J10,J20,J30,J40,J50,J4)</f>
        <v>13</v>
      </c>
      <c r="S23">
        <v>1</v>
      </c>
      <c r="T23" t="s">
        <v>261</v>
      </c>
    </row>
    <row r="24" spans="2:20" ht="15.75" thickBot="1">
      <c r="B24" s="308" t="s">
        <v>255</v>
      </c>
      <c r="C24" s="309"/>
      <c r="D24" s="309"/>
      <c r="E24" s="190">
        <f>SUM(E20:E23)</f>
        <v>0</v>
      </c>
      <c r="F24" s="190"/>
      <c r="G24" s="190"/>
      <c r="H24" s="190"/>
      <c r="I24" s="190"/>
      <c r="J24" s="190"/>
      <c r="K24" s="190"/>
      <c r="L24" s="190"/>
      <c r="M24" s="190"/>
      <c r="N24" s="190"/>
      <c r="O24" s="191"/>
    </row>
    <row r="25" spans="2:20" ht="15.75" thickBot="1">
      <c r="B25" s="310" t="s">
        <v>256</v>
      </c>
      <c r="C25" s="310"/>
      <c r="D25" s="310"/>
      <c r="E25" s="223">
        <f>IF(E24&lt;$R$8,$S$8,IF(E24&lt;$R$9,$S$9,IF(E24&lt;$R$10,$S$10,$S$11)))</f>
        <v>1</v>
      </c>
      <c r="F25" s="223"/>
      <c r="G25" s="223">
        <f>IF(G20&lt;$R$14,$S$14,IF(G20&lt;$R$15,$S$15,IF(G20&lt;$R$16,$S$16,$S$17)))</f>
        <v>2</v>
      </c>
      <c r="H25" s="223"/>
      <c r="I25" s="223"/>
      <c r="J25" s="223">
        <f>IF(J20&lt;$R$20,$S$20,IF(J20&lt;$R$21,$S$21,IF(J20&lt;$R$22,$S$22,$S$23)))</f>
        <v>2</v>
      </c>
      <c r="K25" s="223"/>
      <c r="L25" s="223"/>
      <c r="M25" s="223">
        <f>IF(M20&lt;$R$26,$S$26,IF(M20&lt;$R$27,$S$27,IF(M20&lt;$R$28,$S$28,$S$29)))</f>
        <v>2</v>
      </c>
      <c r="N25" s="223"/>
      <c r="O25" s="223"/>
      <c r="Q25" s="307" t="s">
        <v>259</v>
      </c>
      <c r="R25" s="307"/>
      <c r="S25" s="307"/>
    </row>
    <row r="26" spans="2:20" ht="15.75" customHeight="1" thickTop="1" thickBot="1">
      <c r="Q26">
        <f>MIN(M10,M20,M30,M40,M50,M4)</f>
        <v>0</v>
      </c>
      <c r="R26">
        <f>R29*0.15</f>
        <v>15.67578</v>
      </c>
      <c r="S26">
        <v>4</v>
      </c>
      <c r="T26" t="s">
        <v>260</v>
      </c>
    </row>
    <row r="27" spans="2:20">
      <c r="B27" s="317" t="s">
        <v>303</v>
      </c>
      <c r="C27" s="318"/>
      <c r="D27" s="318"/>
      <c r="E27" s="318"/>
      <c r="F27" s="318"/>
      <c r="G27" s="318"/>
      <c r="H27" s="318"/>
      <c r="I27" s="318"/>
      <c r="J27" s="318"/>
      <c r="K27" s="318"/>
      <c r="L27" s="318"/>
      <c r="M27" s="318"/>
      <c r="N27" s="318"/>
      <c r="O27" s="319"/>
      <c r="Q27">
        <f>R26</f>
        <v>15.67578</v>
      </c>
      <c r="R27">
        <f>AVERAGE(R29,Q26)</f>
        <v>52.252600000000001</v>
      </c>
      <c r="S27">
        <v>3</v>
      </c>
    </row>
    <row r="28" spans="2:20">
      <c r="B28" s="11"/>
      <c r="C28" s="305" t="s">
        <v>242</v>
      </c>
      <c r="D28" s="305"/>
      <c r="E28" s="305"/>
      <c r="F28" s="305"/>
      <c r="G28" s="305" t="s">
        <v>245</v>
      </c>
      <c r="H28" s="305"/>
      <c r="I28" s="305"/>
      <c r="J28" s="305" t="s">
        <v>246</v>
      </c>
      <c r="K28" s="305"/>
      <c r="L28" s="305"/>
      <c r="M28" s="305" t="s">
        <v>244</v>
      </c>
      <c r="N28" s="305"/>
      <c r="O28" s="306"/>
      <c r="Q28">
        <f>AVERAGE(R29,Q26)</f>
        <v>52.252600000000001</v>
      </c>
      <c r="R28">
        <f>Q29</f>
        <v>88.829419999999999</v>
      </c>
      <c r="S28">
        <v>2</v>
      </c>
    </row>
    <row r="29" spans="2:20">
      <c r="B29" s="260"/>
      <c r="C29" s="256" t="s">
        <v>248</v>
      </c>
      <c r="D29" s="26" t="s">
        <v>253</v>
      </c>
      <c r="E29" s="26" t="s">
        <v>254</v>
      </c>
      <c r="F29" s="26"/>
      <c r="G29" s="305" t="s">
        <v>252</v>
      </c>
      <c r="H29" s="305"/>
      <c r="I29" s="305"/>
      <c r="J29" s="305" t="s">
        <v>252</v>
      </c>
      <c r="K29" s="305"/>
      <c r="L29" s="305"/>
      <c r="M29" s="305" t="s">
        <v>248</v>
      </c>
      <c r="N29" s="305"/>
      <c r="O29" s="306"/>
      <c r="Q29">
        <f>R29*0.85</f>
        <v>88.829419999999999</v>
      </c>
      <c r="R29">
        <f>MAX(M10,M20,M30,M40,M50,M4)</f>
        <v>104.5052</v>
      </c>
      <c r="S29">
        <v>1</v>
      </c>
      <c r="T29" t="s">
        <v>261</v>
      </c>
    </row>
    <row r="30" spans="2:20">
      <c r="B30" s="260" t="s">
        <v>247</v>
      </c>
      <c r="C30" s="256"/>
      <c r="D30" s="26">
        <v>2</v>
      </c>
      <c r="E30" s="26">
        <f>C30*D30</f>
        <v>0</v>
      </c>
      <c r="F30" s="26"/>
      <c r="G30" s="76">
        <v>11</v>
      </c>
      <c r="H30" s="26"/>
      <c r="I30" s="26"/>
      <c r="J30" s="76">
        <v>1</v>
      </c>
      <c r="K30" s="26"/>
      <c r="L30" s="26"/>
      <c r="M30" s="26">
        <f>0.08899+0.0019+9.2955+11.9383+45.6609</f>
        <v>66.985590000000002</v>
      </c>
      <c r="N30" s="26"/>
      <c r="O30" s="189"/>
    </row>
    <row r="31" spans="2:20">
      <c r="B31" s="260" t="s">
        <v>249</v>
      </c>
      <c r="C31" s="256"/>
      <c r="D31" s="26">
        <v>5</v>
      </c>
      <c r="E31" s="26">
        <f t="shared" ref="E31:E33" si="2">C31*D31</f>
        <v>0</v>
      </c>
      <c r="F31" s="26"/>
      <c r="G31" s="26"/>
      <c r="H31" s="26"/>
      <c r="I31" s="26"/>
      <c r="J31" s="26"/>
      <c r="K31" s="26"/>
      <c r="L31" s="26"/>
      <c r="M31" s="26"/>
      <c r="N31" s="26"/>
      <c r="O31" s="189"/>
    </row>
    <row r="32" spans="2:20">
      <c r="B32" s="260" t="s">
        <v>250</v>
      </c>
      <c r="C32" s="256"/>
      <c r="D32" s="26">
        <v>0.5</v>
      </c>
      <c r="E32" s="26">
        <f t="shared" si="2"/>
        <v>0</v>
      </c>
      <c r="F32" s="26"/>
      <c r="G32" s="26"/>
      <c r="H32" s="26"/>
      <c r="I32" s="26"/>
      <c r="J32" s="26"/>
      <c r="K32" s="26"/>
      <c r="L32" s="26"/>
      <c r="M32" s="26"/>
      <c r="N32" s="26"/>
      <c r="O32" s="189"/>
      <c r="Q32" s="307" t="s">
        <v>9</v>
      </c>
      <c r="R32" s="307"/>
      <c r="S32" s="307"/>
    </row>
    <row r="33" spans="2:20">
      <c r="B33" s="260" t="s">
        <v>251</v>
      </c>
      <c r="C33" s="256"/>
      <c r="D33" s="26">
        <v>1</v>
      </c>
      <c r="E33" s="26">
        <f t="shared" si="2"/>
        <v>0</v>
      </c>
      <c r="F33" s="26"/>
      <c r="G33" s="26"/>
      <c r="H33" s="26"/>
      <c r="I33" s="26"/>
      <c r="J33" s="26"/>
      <c r="K33" s="26"/>
      <c r="L33" s="26"/>
      <c r="M33" s="26"/>
      <c r="N33" s="26"/>
      <c r="O33" s="189"/>
      <c r="Q33" s="226" t="e">
        <f>MIN(#REF!,#REF!,#REF!,#REF!,M57,#REF!)</f>
        <v>#REF!</v>
      </c>
      <c r="R33" s="226" t="e">
        <f>R36*0.2</f>
        <v>#REF!</v>
      </c>
      <c r="S33">
        <v>4</v>
      </c>
    </row>
    <row r="34" spans="2:20" ht="15.75" thickBot="1">
      <c r="B34" s="308" t="s">
        <v>255</v>
      </c>
      <c r="C34" s="309"/>
      <c r="D34" s="309"/>
      <c r="E34" s="190">
        <f>SUM(E30:E33)</f>
        <v>0</v>
      </c>
      <c r="F34" s="190"/>
      <c r="G34" s="190"/>
      <c r="H34" s="190"/>
      <c r="I34" s="190"/>
      <c r="J34" s="190"/>
      <c r="K34" s="190"/>
      <c r="L34" s="190"/>
      <c r="M34" s="190"/>
      <c r="N34" s="190"/>
      <c r="O34" s="191"/>
      <c r="Q34" s="226" t="e">
        <f>R33</f>
        <v>#REF!</v>
      </c>
      <c r="R34" s="226" t="e">
        <f>Q36*0.8</f>
        <v>#REF!</v>
      </c>
      <c r="S34">
        <v>3</v>
      </c>
      <c r="T34" t="s">
        <v>291</v>
      </c>
    </row>
    <row r="35" spans="2:20" ht="15.75" thickBot="1">
      <c r="B35" s="310" t="s">
        <v>256</v>
      </c>
      <c r="C35" s="310"/>
      <c r="D35" s="310"/>
      <c r="E35" s="223">
        <f>IF(E34&lt;$R$8,$S$8,IF(E34&lt;$R$9,$S$9,IF(E34&lt;$R$10,$S$10,$S$11)))</f>
        <v>1</v>
      </c>
      <c r="F35" s="223"/>
      <c r="G35" s="223">
        <f>IF(G30&lt;$R$14,$S$14,IF(G30&lt;$R$15,$S$15,IF(G30&lt;$R$16,$S$16,$S$17)))</f>
        <v>1</v>
      </c>
      <c r="H35" s="223"/>
      <c r="I35" s="223"/>
      <c r="J35" s="223">
        <f>IF(J30&lt;$R$20,$S$20,IF(J30&lt;$R$21,$S$21,IF(J30&lt;$R$22,$S$22,$S$23)))</f>
        <v>4</v>
      </c>
      <c r="K35" s="223"/>
      <c r="L35" s="223"/>
      <c r="M35" s="223">
        <f>IF(M30&lt;$R$26,$S$26,IF(M30&lt;$R$27,$S$27,IF(M30&lt;$R$28,$S$28,$S$29)))</f>
        <v>2</v>
      </c>
      <c r="N35" s="223"/>
      <c r="O35" s="223"/>
      <c r="Q35" s="226" t="e">
        <f>AVERAGE(R36,Q33)</f>
        <v>#REF!</v>
      </c>
      <c r="R35" s="226" t="e">
        <f>Q36</f>
        <v>#REF!</v>
      </c>
      <c r="S35">
        <v>2</v>
      </c>
      <c r="T35" t="s">
        <v>289</v>
      </c>
    </row>
    <row r="36" spans="2:20" ht="15.75" thickTop="1">
      <c r="Q36" s="226" t="e">
        <f>R36*0.9</f>
        <v>#REF!</v>
      </c>
      <c r="R36" s="226" t="e">
        <f>MAX(#REF!,#REF!,#REF!,#REF!,M57,#REF!)</f>
        <v>#REF!</v>
      </c>
      <c r="S36">
        <v>1</v>
      </c>
      <c r="T36" t="s">
        <v>290</v>
      </c>
    </row>
  </sheetData>
  <mergeCells count="42">
    <mergeCell ref="B35:D35"/>
    <mergeCell ref="Q19:S19"/>
    <mergeCell ref="B34:D34"/>
    <mergeCell ref="B25:D25"/>
    <mergeCell ref="Q25:S25"/>
    <mergeCell ref="B27:O27"/>
    <mergeCell ref="C28:F28"/>
    <mergeCell ref="G28:I28"/>
    <mergeCell ref="J28:L28"/>
    <mergeCell ref="M28:O28"/>
    <mergeCell ref="G29:I29"/>
    <mergeCell ref="J29:L29"/>
    <mergeCell ref="M29:O29"/>
    <mergeCell ref="Q32:S32"/>
    <mergeCell ref="B24:D24"/>
    <mergeCell ref="G19:I19"/>
    <mergeCell ref="J19:L19"/>
    <mergeCell ref="M19:O19"/>
    <mergeCell ref="B14:D14"/>
    <mergeCell ref="B15:D15"/>
    <mergeCell ref="B17:O17"/>
    <mergeCell ref="C18:F18"/>
    <mergeCell ref="G18:I18"/>
    <mergeCell ref="J18:L18"/>
    <mergeCell ref="M18:O18"/>
    <mergeCell ref="G9:I9"/>
    <mergeCell ref="J9:L9"/>
    <mergeCell ref="M9:O9"/>
    <mergeCell ref="Q13:S13"/>
    <mergeCell ref="B4:D4"/>
    <mergeCell ref="B5:D5"/>
    <mergeCell ref="B7:O7"/>
    <mergeCell ref="Q7:S7"/>
    <mergeCell ref="C8:F8"/>
    <mergeCell ref="G8:I8"/>
    <mergeCell ref="J8:L8"/>
    <mergeCell ref="M8:O8"/>
    <mergeCell ref="B2:O2"/>
    <mergeCell ref="C3:F3"/>
    <mergeCell ref="G3:I3"/>
    <mergeCell ref="J3:L3"/>
    <mergeCell ref="M3:O3"/>
  </mergeCells>
  <pageMargins left="0.7" right="0.7" top="0.75" bottom="0.75" header="0.3" footer="0.3"/>
  <pageSetup paperSize="256"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3E6A6-6342-4340-8A0F-A06C38DACDC2}">
  <dimension ref="A2:S70"/>
  <sheetViews>
    <sheetView zoomScaleNormal="100" workbookViewId="0">
      <selection activeCell="X22" sqref="X22"/>
    </sheetView>
  </sheetViews>
  <sheetFormatPr defaultRowHeight="15"/>
  <cols>
    <col min="1" max="1" width="27.42578125" customWidth="1"/>
    <col min="2" max="2" width="14.42578125" hidden="1" customWidth="1"/>
    <col min="3" max="3" width="5.5703125" style="259" hidden="1" customWidth="1"/>
    <col min="4" max="4" width="8" hidden="1" customWidth="1"/>
    <col min="5" max="5" width="9.140625" hidden="1" customWidth="1"/>
    <col min="6" max="6" width="0" hidden="1" customWidth="1"/>
    <col min="13" max="15" width="0" hidden="1" customWidth="1"/>
    <col min="16" max="16" width="12.28515625" bestFit="1" customWidth="1"/>
    <col min="17" max="17" width="18" bestFit="1" customWidth="1"/>
    <col min="18" max="18" width="17.28515625" customWidth="1"/>
    <col min="25" max="25" width="14.28515625" customWidth="1"/>
    <col min="26" max="26" width="13.28515625" customWidth="1"/>
  </cols>
  <sheetData>
    <row r="2" spans="1:19" ht="15.75" thickBot="1">
      <c r="B2" s="324" t="s">
        <v>90</v>
      </c>
      <c r="C2" s="325"/>
      <c r="D2" s="325"/>
      <c r="E2" s="325"/>
      <c r="F2" s="325"/>
      <c r="G2" s="325"/>
      <c r="H2" s="325"/>
      <c r="I2" s="325"/>
      <c r="J2" s="325"/>
      <c r="K2" s="325"/>
      <c r="L2" s="325"/>
      <c r="M2" s="325"/>
      <c r="N2" s="325"/>
      <c r="O2" s="325"/>
      <c r="P2" s="325"/>
    </row>
    <row r="3" spans="1:19">
      <c r="B3" s="11"/>
      <c r="C3" s="305" t="s">
        <v>242</v>
      </c>
      <c r="D3" s="305"/>
      <c r="E3" s="305"/>
      <c r="F3" s="305"/>
      <c r="G3" s="305" t="s">
        <v>245</v>
      </c>
      <c r="H3" s="305"/>
      <c r="I3" s="305"/>
      <c r="J3" s="305" t="s">
        <v>246</v>
      </c>
      <c r="K3" s="305"/>
      <c r="L3" s="305"/>
      <c r="M3" s="305" t="s">
        <v>259</v>
      </c>
      <c r="N3" s="305"/>
      <c r="O3" s="306"/>
      <c r="P3" t="s">
        <v>329</v>
      </c>
    </row>
    <row r="4" spans="1:19" ht="15.75" thickBot="1">
      <c r="B4" s="11"/>
      <c r="C4" s="259">
        <v>0</v>
      </c>
      <c r="E4" s="194">
        <v>0</v>
      </c>
      <c r="F4" s="257"/>
      <c r="G4" s="259">
        <v>0</v>
      </c>
      <c r="H4" s="259"/>
      <c r="I4" s="259"/>
      <c r="J4" s="259">
        <v>0</v>
      </c>
      <c r="K4" s="259"/>
      <c r="L4" s="259"/>
      <c r="M4" s="259">
        <v>0</v>
      </c>
      <c r="N4" s="259"/>
      <c r="O4" s="258"/>
    </row>
    <row r="5" spans="1:19" ht="15.75" thickBot="1">
      <c r="B5" s="308" t="s">
        <v>255</v>
      </c>
      <c r="C5" s="309"/>
      <c r="D5" s="309"/>
      <c r="E5" s="257"/>
      <c r="F5" s="194"/>
      <c r="G5" s="194"/>
      <c r="H5" s="194"/>
      <c r="I5" s="194"/>
      <c r="J5" s="194"/>
      <c r="K5" s="194"/>
      <c r="L5" s="194"/>
      <c r="M5" s="194"/>
      <c r="N5" s="194"/>
      <c r="O5" s="195"/>
      <c r="P5" s="194"/>
    </row>
    <row r="6" spans="1:19" ht="15.75" thickBot="1">
      <c r="B6" s="310" t="s">
        <v>256</v>
      </c>
      <c r="C6" s="310"/>
      <c r="D6" s="310"/>
      <c r="E6" s="223">
        <v>4</v>
      </c>
      <c r="F6" s="223"/>
      <c r="G6" s="223">
        <v>4</v>
      </c>
      <c r="H6" s="223"/>
      <c r="I6" s="223"/>
      <c r="J6" s="223">
        <v>4</v>
      </c>
      <c r="K6" s="223"/>
      <c r="L6" s="223"/>
      <c r="M6" s="223">
        <v>4</v>
      </c>
      <c r="N6" s="223"/>
      <c r="O6" s="223"/>
      <c r="P6" s="223"/>
    </row>
    <row r="7" spans="1:19" ht="16.5" thickTop="1" thickBot="1">
      <c r="G7" s="279"/>
      <c r="H7" s="279"/>
      <c r="I7" s="279"/>
      <c r="J7" s="279"/>
      <c r="K7" s="279"/>
      <c r="L7" s="279"/>
      <c r="M7" s="279"/>
      <c r="N7" s="279"/>
      <c r="O7" s="279"/>
      <c r="P7" s="279"/>
    </row>
    <row r="8" spans="1:19">
      <c r="B8" s="326" t="s">
        <v>312</v>
      </c>
      <c r="C8" s="327"/>
      <c r="D8" s="327"/>
      <c r="E8" s="327"/>
      <c r="F8" s="327"/>
      <c r="G8" s="327"/>
      <c r="H8" s="327"/>
      <c r="I8" s="327"/>
      <c r="J8" s="327"/>
      <c r="K8" s="327"/>
      <c r="L8" s="327"/>
      <c r="M8" s="327"/>
      <c r="N8" s="327"/>
      <c r="O8" s="327"/>
      <c r="P8" s="327"/>
      <c r="Q8" s="307"/>
      <c r="R8" s="307"/>
      <c r="S8" s="307"/>
    </row>
    <row r="9" spans="1:19">
      <c r="B9" s="11"/>
      <c r="C9" s="305" t="s">
        <v>242</v>
      </c>
      <c r="D9" s="305"/>
      <c r="E9" s="305"/>
      <c r="F9" s="305"/>
      <c r="G9" s="305" t="s">
        <v>245</v>
      </c>
      <c r="H9" s="305"/>
      <c r="I9" s="305"/>
      <c r="J9" s="305" t="s">
        <v>246</v>
      </c>
      <c r="K9" s="305"/>
      <c r="L9" s="305"/>
      <c r="M9" s="305" t="s">
        <v>259</v>
      </c>
      <c r="N9" s="305"/>
      <c r="O9" s="306"/>
      <c r="P9" t="s">
        <v>329</v>
      </c>
    </row>
    <row r="10" spans="1:19">
      <c r="B10" s="265"/>
      <c r="C10" s="266" t="s">
        <v>248</v>
      </c>
      <c r="D10" s="26" t="s">
        <v>253</v>
      </c>
      <c r="E10" s="26" t="s">
        <v>254</v>
      </c>
      <c r="F10" s="26"/>
      <c r="G10" s="305" t="s">
        <v>252</v>
      </c>
      <c r="H10" s="305"/>
      <c r="I10" s="305"/>
      <c r="J10" s="305" t="s">
        <v>252</v>
      </c>
      <c r="K10" s="305"/>
      <c r="L10" s="305"/>
      <c r="M10" s="305" t="s">
        <v>248</v>
      </c>
      <c r="N10" s="305"/>
      <c r="O10" s="306"/>
      <c r="P10" s="278" t="s">
        <v>330</v>
      </c>
    </row>
    <row r="11" spans="1:19">
      <c r="A11" t="s">
        <v>335</v>
      </c>
      <c r="B11" s="265" t="s">
        <v>304</v>
      </c>
      <c r="C11" s="266"/>
      <c r="D11" s="26"/>
      <c r="E11" s="26"/>
      <c r="F11" s="26"/>
      <c r="G11" s="76">
        <v>9</v>
      </c>
      <c r="H11" s="76"/>
      <c r="I11" s="76"/>
      <c r="J11" s="76">
        <v>0</v>
      </c>
      <c r="K11" s="26"/>
      <c r="L11" s="26"/>
      <c r="M11" s="255"/>
      <c r="N11" s="26"/>
      <c r="O11" s="189"/>
      <c r="P11" s="75">
        <f>4.9935 +10.1826</f>
        <v>15.176100000000002</v>
      </c>
    </row>
    <row r="12" spans="1:19" hidden="1">
      <c r="B12" s="260" t="s">
        <v>247</v>
      </c>
      <c r="C12" s="267"/>
      <c r="D12" s="26">
        <v>2</v>
      </c>
      <c r="E12" s="26">
        <f>C12*D12</f>
        <v>0</v>
      </c>
      <c r="F12" s="26"/>
      <c r="G12" s="76"/>
      <c r="H12" s="76"/>
      <c r="I12" s="76"/>
      <c r="J12" s="76"/>
      <c r="K12" s="26"/>
      <c r="L12" s="26"/>
      <c r="M12" s="255"/>
      <c r="N12" s="26"/>
      <c r="O12" s="189"/>
    </row>
    <row r="13" spans="1:19" hidden="1">
      <c r="B13" s="260" t="s">
        <v>249</v>
      </c>
      <c r="C13" s="267"/>
      <c r="D13" s="26">
        <v>5</v>
      </c>
      <c r="E13" s="26">
        <f t="shared" ref="E13:E15" si="0">C13*D13</f>
        <v>0</v>
      </c>
      <c r="F13" s="26"/>
      <c r="G13" s="26"/>
      <c r="H13" s="26"/>
      <c r="I13" s="26"/>
      <c r="J13" s="26"/>
      <c r="K13" s="26"/>
      <c r="L13" s="26"/>
      <c r="M13" s="26"/>
      <c r="N13" s="26"/>
      <c r="O13" s="189"/>
    </row>
    <row r="14" spans="1:19" hidden="1">
      <c r="B14" s="260" t="s">
        <v>250</v>
      </c>
      <c r="C14" s="268"/>
      <c r="D14" s="26">
        <v>0.5</v>
      </c>
      <c r="E14" s="26">
        <f t="shared" si="0"/>
        <v>0</v>
      </c>
      <c r="F14" s="26"/>
      <c r="G14" s="26"/>
      <c r="H14" s="26"/>
      <c r="I14" s="26"/>
      <c r="J14" s="26"/>
      <c r="K14" s="26"/>
      <c r="L14" s="26"/>
      <c r="M14" s="26"/>
      <c r="N14" s="26"/>
      <c r="O14" s="189"/>
    </row>
    <row r="15" spans="1:19" hidden="1">
      <c r="B15" s="260" t="s">
        <v>251</v>
      </c>
      <c r="C15" s="267"/>
      <c r="D15" s="26">
        <v>1</v>
      </c>
      <c r="E15" s="26">
        <f t="shared" si="0"/>
        <v>0</v>
      </c>
      <c r="F15" s="26"/>
      <c r="G15" s="26"/>
      <c r="H15" s="26"/>
      <c r="I15" s="26"/>
      <c r="J15" s="26"/>
      <c r="K15" s="26"/>
      <c r="L15" s="26"/>
      <c r="M15" s="26"/>
      <c r="N15" s="26"/>
      <c r="O15" s="189"/>
      <c r="Q15" s="307"/>
      <c r="R15" s="307"/>
      <c r="S15" s="307"/>
    </row>
    <row r="16" spans="1:19" ht="15.75" thickBot="1">
      <c r="A16" t="s">
        <v>336</v>
      </c>
      <c r="B16" s="308" t="s">
        <v>255</v>
      </c>
      <c r="C16" s="309"/>
      <c r="D16" s="309"/>
      <c r="E16" s="190">
        <f>SUM(E11:E15)</f>
        <v>0</v>
      </c>
      <c r="F16" s="190"/>
      <c r="G16" s="190">
        <v>4</v>
      </c>
      <c r="H16" s="190"/>
      <c r="I16" s="190"/>
      <c r="J16" s="190">
        <v>0</v>
      </c>
      <c r="K16" s="190"/>
      <c r="L16" s="190"/>
      <c r="M16" s="190"/>
      <c r="N16" s="190"/>
      <c r="O16" s="191"/>
      <c r="P16" s="190"/>
    </row>
    <row r="17" spans="1:19" ht="15.75" customHeight="1" thickBot="1">
      <c r="B17" s="270" t="s">
        <v>256</v>
      </c>
      <c r="C17" s="270">
        <f>IF(C11&lt;$Z$9,$AA$9,IF(C11&lt;$Z$10,$AA$10,IF(C11&lt;$Z$11,$AA$11,$AA$16)))</f>
        <v>0</v>
      </c>
      <c r="D17" s="270"/>
      <c r="E17" s="223">
        <f>IF(E16&lt;$R$9,$S$9,IF(E16&lt;$R$10,$S$10,IF(E16&lt;$R$11,$S$11,$S$13)))</f>
        <v>0</v>
      </c>
      <c r="F17" s="223"/>
      <c r="G17" s="223">
        <f>IF(G11&lt;$R$16,$S$16,IF(G11&lt;$R$17,$S$17,IF(G11&lt;$R$18,$S$18,$S$19)))</f>
        <v>0</v>
      </c>
      <c r="H17" s="223"/>
      <c r="I17" s="223"/>
      <c r="J17" s="223">
        <f>IF(J11&lt;$R$22,$S$22,IF(J11&lt;$R$24,$S$24,IF(J11&lt;$R$25,$S$25,$S$26)))</f>
        <v>0</v>
      </c>
      <c r="K17" s="223"/>
      <c r="L17" s="223"/>
      <c r="M17" s="223">
        <f>IF(M11&lt;$R$29,$S$29,IF(M11&lt;$R$30,$S$30,IF(M11&lt;$R$31,$S$31,$S$32)))</f>
        <v>0</v>
      </c>
      <c r="N17" s="223"/>
      <c r="O17" s="223"/>
      <c r="P17" s="223"/>
    </row>
    <row r="18" spans="1:19" ht="16.5" thickTop="1" thickBot="1">
      <c r="G18" s="279"/>
      <c r="H18" s="279"/>
      <c r="I18" s="279"/>
      <c r="J18" s="279"/>
      <c r="K18" s="279"/>
      <c r="L18" s="279"/>
      <c r="M18" s="279"/>
      <c r="N18" s="279"/>
      <c r="O18" s="279"/>
      <c r="P18" s="279"/>
    </row>
    <row r="19" spans="1:19">
      <c r="B19" s="326" t="s">
        <v>305</v>
      </c>
      <c r="C19" s="327"/>
      <c r="D19" s="327"/>
      <c r="E19" s="327"/>
      <c r="F19" s="327"/>
      <c r="G19" s="327"/>
      <c r="H19" s="327"/>
      <c r="I19" s="327"/>
      <c r="J19" s="327"/>
      <c r="K19" s="327"/>
      <c r="L19" s="327"/>
      <c r="M19" s="327"/>
      <c r="N19" s="327"/>
      <c r="O19" s="327"/>
      <c r="P19" s="327"/>
    </row>
    <row r="20" spans="1:19">
      <c r="B20" s="11"/>
      <c r="C20" s="305" t="s">
        <v>242</v>
      </c>
      <c r="D20" s="305"/>
      <c r="E20" s="305"/>
      <c r="F20" s="305"/>
      <c r="G20" s="305" t="s">
        <v>245</v>
      </c>
      <c r="H20" s="305"/>
      <c r="I20" s="305"/>
      <c r="J20" s="305" t="s">
        <v>246</v>
      </c>
      <c r="K20" s="305"/>
      <c r="L20" s="305"/>
      <c r="M20" s="305" t="s">
        <v>259</v>
      </c>
      <c r="N20" s="305"/>
      <c r="O20" s="306"/>
      <c r="P20" t="s">
        <v>329</v>
      </c>
    </row>
    <row r="21" spans="1:19">
      <c r="B21" s="265"/>
      <c r="C21" s="266" t="s">
        <v>248</v>
      </c>
      <c r="D21" s="26" t="s">
        <v>253</v>
      </c>
      <c r="E21" s="26" t="s">
        <v>254</v>
      </c>
      <c r="F21" s="26"/>
      <c r="G21" s="305" t="s">
        <v>252</v>
      </c>
      <c r="H21" s="305"/>
      <c r="I21" s="305"/>
      <c r="J21" s="305" t="s">
        <v>252</v>
      </c>
      <c r="K21" s="305"/>
      <c r="L21" s="305"/>
      <c r="M21" s="305" t="s">
        <v>248</v>
      </c>
      <c r="N21" s="305"/>
      <c r="O21" s="306"/>
      <c r="P21" s="278" t="s">
        <v>330</v>
      </c>
      <c r="Q21" s="307"/>
      <c r="R21" s="307"/>
      <c r="S21" s="307"/>
    </row>
    <row r="22" spans="1:19">
      <c r="A22" t="s">
        <v>335</v>
      </c>
      <c r="B22" s="265" t="s">
        <v>304</v>
      </c>
      <c r="C22" s="266"/>
      <c r="D22" s="26"/>
      <c r="E22" s="26"/>
      <c r="F22" s="26"/>
      <c r="G22" s="76">
        <v>8</v>
      </c>
      <c r="H22" s="76"/>
      <c r="I22" s="76"/>
      <c r="J22" s="76">
        <v>0</v>
      </c>
      <c r="K22" s="26"/>
      <c r="L22" s="26"/>
      <c r="M22" s="26"/>
      <c r="N22" s="26"/>
      <c r="O22" s="189"/>
      <c r="P22">
        <f>1.3238 +3.6624 +10.1826</f>
        <v>15.168800000000001</v>
      </c>
    </row>
    <row r="23" spans="1:19" hidden="1">
      <c r="B23" s="260" t="s">
        <v>247</v>
      </c>
      <c r="C23" s="267"/>
      <c r="D23" s="26">
        <v>2</v>
      </c>
      <c r="E23" s="26">
        <f>C23*D23</f>
        <v>0</v>
      </c>
      <c r="F23" s="26"/>
      <c r="G23" s="76"/>
      <c r="H23" s="76"/>
      <c r="I23" s="76"/>
      <c r="J23" s="76"/>
      <c r="K23" s="26"/>
      <c r="L23" s="26"/>
      <c r="M23" s="26"/>
      <c r="N23" s="26"/>
      <c r="O23" s="189"/>
    </row>
    <row r="24" spans="1:19" hidden="1">
      <c r="B24" s="260" t="s">
        <v>249</v>
      </c>
      <c r="C24" s="267"/>
      <c r="D24" s="26">
        <v>5</v>
      </c>
      <c r="E24" s="26">
        <f t="shared" ref="E24:E26" si="1">C24*D24</f>
        <v>0</v>
      </c>
      <c r="F24" s="26"/>
      <c r="G24" s="26"/>
      <c r="H24" s="26"/>
      <c r="I24" s="26"/>
      <c r="J24" s="26"/>
      <c r="K24" s="26"/>
      <c r="L24" s="26"/>
      <c r="M24" s="26"/>
      <c r="N24" s="26"/>
      <c r="O24" s="189"/>
    </row>
    <row r="25" spans="1:19" hidden="1">
      <c r="B25" s="260" t="s">
        <v>250</v>
      </c>
      <c r="C25" s="267"/>
      <c r="D25" s="26">
        <v>0.5</v>
      </c>
      <c r="E25" s="26">
        <f t="shared" si="1"/>
        <v>0</v>
      </c>
      <c r="F25" s="26"/>
      <c r="G25" s="26"/>
      <c r="H25" s="26"/>
      <c r="I25" s="26"/>
      <c r="J25" s="26"/>
      <c r="K25" s="26"/>
      <c r="L25" s="26"/>
      <c r="M25" s="26"/>
      <c r="N25" s="26"/>
      <c r="O25" s="189"/>
    </row>
    <row r="26" spans="1:19" hidden="1">
      <c r="B26" s="260" t="s">
        <v>251</v>
      </c>
      <c r="C26" s="267"/>
      <c r="D26" s="26">
        <v>1</v>
      </c>
      <c r="E26" s="26">
        <f t="shared" si="1"/>
        <v>0</v>
      </c>
      <c r="F26" s="26"/>
      <c r="G26" s="26"/>
      <c r="H26" s="26"/>
      <c r="I26" s="26"/>
      <c r="J26" s="26"/>
      <c r="K26" s="26"/>
      <c r="L26" s="26"/>
      <c r="M26" s="26"/>
      <c r="N26" s="26"/>
      <c r="O26" s="189"/>
    </row>
    <row r="27" spans="1:19" ht="15.75" thickBot="1">
      <c r="A27" t="s">
        <v>336</v>
      </c>
      <c r="B27" s="308" t="s">
        <v>255</v>
      </c>
      <c r="C27" s="309"/>
      <c r="D27" s="309"/>
      <c r="E27" s="190">
        <f>SUM(E22:E26)</f>
        <v>0</v>
      </c>
      <c r="F27" s="190"/>
      <c r="G27" s="190">
        <v>5</v>
      </c>
      <c r="H27" s="190"/>
      <c r="I27" s="190"/>
      <c r="J27" s="190">
        <v>0</v>
      </c>
      <c r="K27" s="190"/>
      <c r="L27" s="190"/>
      <c r="M27" s="190"/>
      <c r="N27" s="190"/>
      <c r="O27" s="191"/>
      <c r="P27" s="190"/>
    </row>
    <row r="28" spans="1:19" ht="15.75" customHeight="1" thickBot="1">
      <c r="B28" s="270" t="s">
        <v>256</v>
      </c>
      <c r="C28" s="270">
        <f>IF(C22&lt;$Z$9,$AA$9,IF(C22&lt;$Z$10,$AA$10,IF(C22&lt;$Z$11,$AA$11,$AA$16)))</f>
        <v>0</v>
      </c>
      <c r="D28" s="270"/>
      <c r="E28" s="223">
        <f>IF(E27&lt;$R$9,$S$9,IF(E27&lt;$R$10,$S$10,IF(E27&lt;$R$11,$S$11,$S$13)))</f>
        <v>0</v>
      </c>
      <c r="F28" s="223"/>
      <c r="G28" s="223">
        <f>IF(G22&lt;$R$16,$S$16,IF(G22&lt;$R$17,$S$17,IF(G22&lt;$R$18,$S$18,$S$19)))</f>
        <v>0</v>
      </c>
      <c r="H28" s="223"/>
      <c r="I28" s="223"/>
      <c r="J28" s="223">
        <f>IF(J22&lt;$R$22,$S$22,IF(J22&lt;$R$24,$S$24,IF(J22&lt;$R$25,$S$25,$S$26)))</f>
        <v>0</v>
      </c>
      <c r="K28" s="223"/>
      <c r="L28" s="223"/>
      <c r="M28" s="223">
        <f>IF(M22&lt;$R$29,$S$29,IF(M22&lt;$R$30,$S$30,IF(M22&lt;$R$31,$S$31,$S$32)))</f>
        <v>0</v>
      </c>
      <c r="N28" s="223"/>
      <c r="O28" s="223"/>
      <c r="P28" s="223"/>
      <c r="Q28" s="307"/>
      <c r="R28" s="307"/>
      <c r="S28" s="307"/>
    </row>
    <row r="29" spans="1:19" ht="15.75" customHeight="1" thickTop="1" thickBot="1">
      <c r="G29" s="279"/>
      <c r="H29" s="279"/>
      <c r="I29" s="279"/>
      <c r="J29" s="279"/>
      <c r="K29" s="279"/>
      <c r="L29" s="279"/>
      <c r="M29" s="279"/>
      <c r="N29" s="279"/>
      <c r="O29" s="279"/>
      <c r="P29" s="279"/>
      <c r="Q29" s="269"/>
    </row>
    <row r="30" spans="1:19">
      <c r="B30" s="322" t="s">
        <v>313</v>
      </c>
      <c r="C30" s="323"/>
      <c r="D30" s="323"/>
      <c r="E30" s="323"/>
      <c r="F30" s="323"/>
      <c r="G30" s="323"/>
      <c r="H30" s="323"/>
      <c r="I30" s="323"/>
      <c r="J30" s="323"/>
      <c r="K30" s="323"/>
      <c r="L30" s="323"/>
      <c r="M30" s="323"/>
      <c r="N30" s="323"/>
      <c r="O30" s="323"/>
      <c r="P30" s="323"/>
    </row>
    <row r="31" spans="1:19">
      <c r="B31" s="11"/>
      <c r="C31" s="305" t="s">
        <v>242</v>
      </c>
      <c r="D31" s="305"/>
      <c r="E31" s="305"/>
      <c r="F31" s="305"/>
      <c r="G31" s="305" t="s">
        <v>245</v>
      </c>
      <c r="H31" s="305"/>
      <c r="I31" s="305"/>
      <c r="J31" s="305" t="s">
        <v>246</v>
      </c>
      <c r="K31" s="305"/>
      <c r="L31" s="305"/>
      <c r="M31" s="305" t="s">
        <v>259</v>
      </c>
      <c r="N31" s="305"/>
      <c r="O31" s="306"/>
      <c r="P31" t="s">
        <v>329</v>
      </c>
    </row>
    <row r="32" spans="1:19">
      <c r="B32" s="265"/>
      <c r="C32" s="266" t="s">
        <v>248</v>
      </c>
      <c r="D32" s="26" t="s">
        <v>253</v>
      </c>
      <c r="E32" s="26" t="s">
        <v>254</v>
      </c>
      <c r="F32" s="26"/>
      <c r="G32" s="305" t="s">
        <v>252</v>
      </c>
      <c r="H32" s="305"/>
      <c r="I32" s="305"/>
      <c r="J32" s="305" t="s">
        <v>252</v>
      </c>
      <c r="K32" s="305"/>
      <c r="L32" s="305"/>
      <c r="M32" s="305" t="s">
        <v>248</v>
      </c>
      <c r="N32" s="305"/>
      <c r="O32" s="306"/>
      <c r="P32" s="278" t="s">
        <v>330</v>
      </c>
    </row>
    <row r="33" spans="1:19">
      <c r="A33" t="s">
        <v>335</v>
      </c>
      <c r="B33" s="265" t="s">
        <v>304</v>
      </c>
      <c r="C33" s="266"/>
      <c r="D33" s="26"/>
      <c r="E33" s="26"/>
      <c r="F33" s="26"/>
      <c r="G33" s="76">
        <v>5</v>
      </c>
      <c r="H33" s="26"/>
      <c r="I33" s="26"/>
      <c r="J33" s="76">
        <v>0</v>
      </c>
      <c r="K33" s="26"/>
      <c r="L33" s="26"/>
      <c r="M33" s="26"/>
      <c r="N33" s="26"/>
      <c r="O33" s="189"/>
      <c r="P33" s="75">
        <f>1.5402 +0.6006</f>
        <v>2.1408</v>
      </c>
    </row>
    <row r="34" spans="1:19" hidden="1">
      <c r="B34" s="260" t="s">
        <v>247</v>
      </c>
      <c r="C34" s="267"/>
      <c r="D34" s="26">
        <v>2</v>
      </c>
      <c r="E34" s="26">
        <f>C34*D34</f>
        <v>0</v>
      </c>
      <c r="F34" s="26"/>
      <c r="G34" s="76"/>
      <c r="H34" s="26"/>
      <c r="I34" s="26"/>
      <c r="J34" s="76"/>
      <c r="K34" s="26"/>
      <c r="L34" s="26"/>
      <c r="M34" s="26"/>
      <c r="N34" s="26"/>
      <c r="O34" s="189"/>
    </row>
    <row r="35" spans="1:19" hidden="1">
      <c r="B35" s="260" t="s">
        <v>249</v>
      </c>
      <c r="C35" s="267"/>
      <c r="D35" s="26">
        <v>5</v>
      </c>
      <c r="E35" s="26">
        <f t="shared" ref="E35:E37" si="2">C35*D35</f>
        <v>0</v>
      </c>
      <c r="F35" s="26"/>
      <c r="G35" s="26"/>
      <c r="H35" s="26"/>
      <c r="I35" s="26"/>
      <c r="J35" s="26"/>
      <c r="K35" s="26"/>
      <c r="L35" s="26"/>
      <c r="M35" s="26"/>
      <c r="N35" s="26"/>
      <c r="O35" s="189"/>
    </row>
    <row r="36" spans="1:19" hidden="1">
      <c r="B36" s="260" t="s">
        <v>250</v>
      </c>
      <c r="C36" s="267"/>
      <c r="D36" s="26">
        <v>0.5</v>
      </c>
      <c r="E36" s="26">
        <f t="shared" si="2"/>
        <v>0</v>
      </c>
      <c r="F36" s="26"/>
      <c r="G36" s="26"/>
      <c r="H36" s="26"/>
      <c r="I36" s="26"/>
      <c r="J36" s="26"/>
      <c r="K36" s="26"/>
      <c r="L36" s="26"/>
      <c r="M36" s="26"/>
      <c r="N36" s="26"/>
      <c r="O36" s="189"/>
      <c r="Q36" s="307"/>
      <c r="R36" s="307"/>
      <c r="S36" s="307"/>
    </row>
    <row r="37" spans="1:19" hidden="1">
      <c r="B37" s="260" t="s">
        <v>251</v>
      </c>
      <c r="C37" s="267"/>
      <c r="D37" s="26">
        <v>1</v>
      </c>
      <c r="E37" s="26">
        <f t="shared" si="2"/>
        <v>0</v>
      </c>
      <c r="F37" s="26"/>
      <c r="G37" s="26"/>
      <c r="H37" s="26"/>
      <c r="I37" s="26"/>
      <c r="J37" s="26"/>
      <c r="K37" s="26"/>
      <c r="L37" s="26"/>
      <c r="M37" s="26"/>
      <c r="N37" s="26"/>
      <c r="O37" s="189"/>
    </row>
    <row r="38" spans="1:19" ht="15.75" thickBot="1">
      <c r="A38" t="s">
        <v>336</v>
      </c>
      <c r="B38" s="308" t="s">
        <v>255</v>
      </c>
      <c r="C38" s="309"/>
      <c r="D38" s="309"/>
      <c r="E38" s="190">
        <f>SUM(E33:E37)</f>
        <v>0</v>
      </c>
      <c r="F38" s="190"/>
      <c r="G38" s="190">
        <v>4</v>
      </c>
      <c r="H38" s="190"/>
      <c r="I38" s="190"/>
      <c r="J38" s="190">
        <v>0</v>
      </c>
      <c r="K38" s="190"/>
      <c r="L38" s="190"/>
      <c r="M38" s="190"/>
      <c r="N38" s="190"/>
      <c r="O38" s="191"/>
      <c r="P38" s="190"/>
      <c r="Q38" s="226"/>
      <c r="R38" s="226"/>
    </row>
    <row r="39" spans="1:19" ht="15.75" thickBot="1">
      <c r="B39" s="270" t="s">
        <v>256</v>
      </c>
      <c r="C39" s="270">
        <f>IF(C33&lt;$Z$9,$AA$9,IF(C33&lt;$Z$10,$AA$10,IF(C33&lt;$Z$11,$AA$11,$AA$16)))</f>
        <v>0</v>
      </c>
      <c r="D39" s="270"/>
      <c r="E39" s="223">
        <f>IF(E38&lt;$R$9,$S$9,IF(E38&lt;$R$10,$S$10,IF(E38&lt;$R$11,$S$11,$S$13)))</f>
        <v>0</v>
      </c>
      <c r="F39" s="223"/>
      <c r="G39" s="223">
        <f>IF(G33&lt;$R$16,$S$16,IF(G33&lt;$R$17,$S$17,IF(G33&lt;$R$18,$S$18,$S$19)))</f>
        <v>0</v>
      </c>
      <c r="H39" s="223"/>
      <c r="I39" s="223"/>
      <c r="J39" s="223">
        <f>IF(J33&lt;$R$22,$S$22,IF(J33&lt;$R$24,$S$24,IF(J33&lt;$R$25,$S$25,$S$26)))</f>
        <v>0</v>
      </c>
      <c r="K39" s="223"/>
      <c r="L39" s="223"/>
      <c r="M39" s="223">
        <f>IF(M33&lt;$R$29,$S$29,IF(M33&lt;$R$30,$S$30,IF(M33&lt;$R$31,$S$31,$S$32)))</f>
        <v>0</v>
      </c>
      <c r="N39" s="223"/>
      <c r="O39" s="223"/>
      <c r="P39" s="223"/>
      <c r="Q39" s="226"/>
      <c r="R39" s="226"/>
    </row>
    <row r="40" spans="1:19" ht="16.5" thickTop="1" thickBot="1">
      <c r="G40" s="279"/>
      <c r="H40" s="279"/>
      <c r="I40" s="279"/>
      <c r="J40" s="279"/>
      <c r="K40" s="279"/>
      <c r="L40" s="279"/>
      <c r="M40" s="279"/>
      <c r="N40" s="279"/>
      <c r="O40" s="279"/>
      <c r="P40" s="279"/>
      <c r="Q40" s="226"/>
      <c r="R40" s="226"/>
    </row>
    <row r="41" spans="1:19">
      <c r="B41" s="322" t="s">
        <v>306</v>
      </c>
      <c r="C41" s="323"/>
      <c r="D41" s="323"/>
      <c r="E41" s="323"/>
      <c r="F41" s="323"/>
      <c r="G41" s="323"/>
      <c r="H41" s="323"/>
      <c r="I41" s="323"/>
      <c r="J41" s="323"/>
      <c r="K41" s="323"/>
      <c r="L41" s="323"/>
      <c r="M41" s="323"/>
      <c r="N41" s="323"/>
      <c r="O41" s="323"/>
      <c r="P41" s="323"/>
      <c r="Q41" s="226"/>
      <c r="R41" s="226"/>
    </row>
    <row r="42" spans="1:19">
      <c r="B42" s="11"/>
      <c r="C42" s="305" t="s">
        <v>242</v>
      </c>
      <c r="D42" s="305"/>
      <c r="E42" s="305"/>
      <c r="F42" s="305"/>
      <c r="G42" s="305" t="s">
        <v>245</v>
      </c>
      <c r="H42" s="305"/>
      <c r="I42" s="305"/>
      <c r="J42" s="305" t="s">
        <v>246</v>
      </c>
      <c r="K42" s="305"/>
      <c r="L42" s="305"/>
      <c r="M42" s="305" t="s">
        <v>259</v>
      </c>
      <c r="N42" s="305"/>
      <c r="O42" s="306"/>
      <c r="P42" t="s">
        <v>329</v>
      </c>
    </row>
    <row r="43" spans="1:19">
      <c r="B43" s="265"/>
      <c r="C43" s="266" t="s">
        <v>248</v>
      </c>
      <c r="D43" s="26" t="s">
        <v>253</v>
      </c>
      <c r="E43" s="26" t="s">
        <v>254</v>
      </c>
      <c r="F43" s="26"/>
      <c r="G43" s="305" t="s">
        <v>252</v>
      </c>
      <c r="H43" s="305"/>
      <c r="I43" s="305"/>
      <c r="J43" s="305" t="s">
        <v>252</v>
      </c>
      <c r="K43" s="305"/>
      <c r="L43" s="305"/>
      <c r="M43" s="305" t="s">
        <v>248</v>
      </c>
      <c r="N43" s="305"/>
      <c r="O43" s="306"/>
      <c r="P43" s="278" t="s">
        <v>330</v>
      </c>
    </row>
    <row r="44" spans="1:19">
      <c r="A44" t="s">
        <v>335</v>
      </c>
      <c r="B44" s="265" t="s">
        <v>304</v>
      </c>
      <c r="C44" s="266"/>
      <c r="D44" s="26"/>
      <c r="E44" s="26"/>
      <c r="F44" s="26"/>
      <c r="G44" s="76">
        <v>4</v>
      </c>
      <c r="H44" s="26"/>
      <c r="I44" s="26"/>
      <c r="J44" s="76">
        <v>5</v>
      </c>
      <c r="K44" s="26"/>
      <c r="L44" s="26"/>
      <c r="M44" s="26"/>
      <c r="N44" s="26"/>
      <c r="O44" s="189"/>
      <c r="P44" s="75">
        <f>1.1952 +0.7029</f>
        <v>1.8980999999999999</v>
      </c>
    </row>
    <row r="45" spans="1:19" hidden="1">
      <c r="B45" s="260" t="s">
        <v>247</v>
      </c>
      <c r="C45" s="267"/>
      <c r="D45" s="26">
        <v>2</v>
      </c>
      <c r="E45" s="26">
        <f>C45*D45</f>
        <v>0</v>
      </c>
      <c r="F45" s="26"/>
      <c r="G45" s="76"/>
      <c r="H45" s="26"/>
      <c r="I45" s="26"/>
      <c r="J45" s="76"/>
      <c r="K45" s="26"/>
      <c r="L45" s="26"/>
      <c r="M45" s="26"/>
      <c r="N45" s="26"/>
      <c r="O45" s="189"/>
    </row>
    <row r="46" spans="1:19" hidden="1">
      <c r="B46" s="260" t="s">
        <v>249</v>
      </c>
      <c r="C46" s="267"/>
      <c r="D46" s="26">
        <v>5</v>
      </c>
      <c r="E46" s="26">
        <f t="shared" ref="E46:E48" si="3">C46*D46</f>
        <v>0</v>
      </c>
      <c r="F46" s="26"/>
      <c r="G46" s="26"/>
      <c r="H46" s="26"/>
      <c r="I46" s="26"/>
      <c r="J46" s="26"/>
      <c r="K46" s="26"/>
      <c r="L46" s="26"/>
      <c r="M46" s="26"/>
      <c r="N46" s="26"/>
      <c r="O46" s="189"/>
    </row>
    <row r="47" spans="1:19" hidden="1">
      <c r="B47" s="260" t="s">
        <v>250</v>
      </c>
      <c r="C47" s="267"/>
      <c r="D47" s="26">
        <v>0.5</v>
      </c>
      <c r="E47" s="26">
        <f t="shared" si="3"/>
        <v>0</v>
      </c>
      <c r="F47" s="26"/>
      <c r="G47" s="26"/>
      <c r="H47" s="26"/>
      <c r="I47" s="26"/>
      <c r="J47" s="26"/>
      <c r="K47" s="26"/>
      <c r="L47" s="26"/>
      <c r="M47" s="26"/>
      <c r="N47" s="26"/>
      <c r="O47" s="189"/>
    </row>
    <row r="48" spans="1:19" hidden="1">
      <c r="B48" s="260" t="s">
        <v>251</v>
      </c>
      <c r="C48" s="267"/>
      <c r="D48" s="26">
        <v>1</v>
      </c>
      <c r="E48" s="26">
        <f t="shared" si="3"/>
        <v>0</v>
      </c>
      <c r="F48" s="26"/>
      <c r="G48" s="26"/>
      <c r="H48" s="26"/>
      <c r="I48" s="26"/>
      <c r="J48" s="26"/>
      <c r="K48" s="26"/>
      <c r="L48" s="26"/>
      <c r="M48" s="26"/>
      <c r="N48" s="26"/>
      <c r="O48" s="189"/>
    </row>
    <row r="49" spans="1:16" ht="15.75" thickBot="1">
      <c r="A49" t="s">
        <v>336</v>
      </c>
      <c r="B49" s="308" t="s">
        <v>255</v>
      </c>
      <c r="C49" s="309"/>
      <c r="D49" s="309"/>
      <c r="E49" s="190">
        <f>SUM(E44:E48)</f>
        <v>0</v>
      </c>
      <c r="F49" s="190"/>
      <c r="G49" s="190">
        <v>5</v>
      </c>
      <c r="H49" s="190"/>
      <c r="I49" s="190"/>
      <c r="J49" s="190">
        <v>0</v>
      </c>
      <c r="K49" s="190"/>
      <c r="L49" s="190"/>
      <c r="M49" s="190"/>
      <c r="N49" s="190"/>
      <c r="O49" s="191"/>
      <c r="P49" s="190"/>
    </row>
    <row r="50" spans="1:16" ht="15.75" customHeight="1" thickBot="1">
      <c r="B50" s="270" t="s">
        <v>256</v>
      </c>
      <c r="C50" s="270">
        <f>IF(C44&lt;$Z$9,$AA$9,IF(C44&lt;$Z$10,$AA$10,IF(C44&lt;$Z$11,$AA$11,$AA$16)))</f>
        <v>0</v>
      </c>
      <c r="D50" s="270"/>
      <c r="E50" s="223">
        <f>IF(E49&lt;$R$9,$S$9,IF(E49&lt;$R$10,$S$10,IF(E49&lt;$R$11,$S$11,$S$13)))</f>
        <v>0</v>
      </c>
      <c r="F50" s="223"/>
      <c r="G50" s="223">
        <f>IF(G44&lt;$R$16,$S$16,IF(G44&lt;$R$17,$S$17,IF(G44&lt;$R$18,$S$18,$S$19)))</f>
        <v>0</v>
      </c>
      <c r="H50" s="223"/>
      <c r="I50" s="223"/>
      <c r="J50" s="223">
        <f>IF(J44&lt;$R$22,$S$22,IF(J44&lt;$R$24,$S$24,IF(J44&lt;$R$25,$S$25,$S$26)))</f>
        <v>0</v>
      </c>
      <c r="K50" s="223"/>
      <c r="L50" s="223"/>
      <c r="M50" s="223">
        <f>IF(M44&lt;$R$29,$S$29,IF(M44&lt;$R$30,$S$30,IF(M44&lt;$R$31,$S$31,$S$32)))</f>
        <v>0</v>
      </c>
      <c r="N50" s="223"/>
      <c r="O50" s="223"/>
      <c r="P50" s="223"/>
    </row>
    <row r="51" spans="1:16" ht="16.5" thickTop="1" thickBot="1">
      <c r="G51" s="279"/>
      <c r="H51" s="279"/>
      <c r="I51" s="279"/>
      <c r="J51" s="279"/>
      <c r="K51" s="279"/>
      <c r="L51" s="279"/>
      <c r="M51" s="279"/>
      <c r="N51" s="279"/>
      <c r="O51" s="279"/>
      <c r="P51" s="279"/>
    </row>
    <row r="52" spans="1:16">
      <c r="B52" s="320" t="s">
        <v>307</v>
      </c>
      <c r="C52" s="321"/>
      <c r="D52" s="321"/>
      <c r="E52" s="321"/>
      <c r="F52" s="321"/>
      <c r="G52" s="321"/>
      <c r="H52" s="321"/>
      <c r="I52" s="321"/>
      <c r="J52" s="321"/>
      <c r="K52" s="321"/>
      <c r="L52" s="321"/>
      <c r="M52" s="321"/>
      <c r="N52" s="321"/>
      <c r="O52" s="321"/>
      <c r="P52" s="321"/>
    </row>
    <row r="53" spans="1:16">
      <c r="B53" s="11"/>
      <c r="C53" s="305" t="s">
        <v>242</v>
      </c>
      <c r="D53" s="305"/>
      <c r="E53" s="305"/>
      <c r="F53" s="305"/>
      <c r="G53" s="305" t="s">
        <v>245</v>
      </c>
      <c r="H53" s="305"/>
      <c r="I53" s="305"/>
      <c r="J53" s="305" t="s">
        <v>246</v>
      </c>
      <c r="K53" s="305"/>
      <c r="L53" s="305"/>
      <c r="M53" s="305" t="s">
        <v>259</v>
      </c>
      <c r="N53" s="305"/>
      <c r="O53" s="306"/>
      <c r="P53" t="s">
        <v>329</v>
      </c>
    </row>
    <row r="54" spans="1:16">
      <c r="B54" s="265"/>
      <c r="C54" s="266" t="s">
        <v>248</v>
      </c>
      <c r="D54" s="26" t="s">
        <v>253</v>
      </c>
      <c r="E54" s="26" t="s">
        <v>254</v>
      </c>
      <c r="F54" s="26"/>
      <c r="G54" s="305" t="s">
        <v>252</v>
      </c>
      <c r="H54" s="305"/>
      <c r="I54" s="305"/>
      <c r="J54" s="305" t="s">
        <v>252</v>
      </c>
      <c r="K54" s="305"/>
      <c r="L54" s="305"/>
      <c r="M54" s="305" t="s">
        <v>248</v>
      </c>
      <c r="N54" s="305"/>
      <c r="O54" s="306"/>
      <c r="P54" s="278" t="s">
        <v>330</v>
      </c>
    </row>
    <row r="55" spans="1:16">
      <c r="A55" t="s">
        <v>335</v>
      </c>
      <c r="B55" s="265" t="s">
        <v>304</v>
      </c>
      <c r="C55" s="266"/>
      <c r="D55" s="26"/>
      <c r="E55" s="26"/>
      <c r="F55" s="26"/>
      <c r="G55" s="76">
        <v>4</v>
      </c>
      <c r="H55" s="26"/>
      <c r="I55" s="26"/>
      <c r="J55" s="76">
        <v>2</v>
      </c>
      <c r="K55" s="26"/>
      <c r="L55" s="26"/>
      <c r="M55" s="26"/>
      <c r="N55" s="26"/>
      <c r="O55" s="189"/>
      <c r="P55">
        <f>0.0899 +0.9106</f>
        <v>1.0004999999999999</v>
      </c>
    </row>
    <row r="56" spans="1:16" hidden="1">
      <c r="B56" s="260" t="s">
        <v>247</v>
      </c>
      <c r="C56" s="267"/>
      <c r="D56" s="26">
        <v>2</v>
      </c>
      <c r="E56" s="26">
        <f>C56*D56</f>
        <v>0</v>
      </c>
      <c r="F56" s="26"/>
      <c r="G56" s="76"/>
      <c r="H56" s="26"/>
      <c r="I56" s="26"/>
      <c r="J56" s="76"/>
      <c r="K56" s="26"/>
      <c r="L56" s="26"/>
      <c r="M56" s="26"/>
      <c r="N56" s="26"/>
      <c r="O56" s="189"/>
    </row>
    <row r="57" spans="1:16" hidden="1">
      <c r="B57" s="260" t="s">
        <v>249</v>
      </c>
      <c r="C57" s="267"/>
      <c r="D57" s="26">
        <v>5</v>
      </c>
      <c r="E57" s="26">
        <f t="shared" ref="E57:E59" si="4">C57*D57</f>
        <v>0</v>
      </c>
      <c r="F57" s="26"/>
      <c r="G57" s="26"/>
      <c r="H57" s="26"/>
      <c r="I57" s="26"/>
      <c r="J57" s="26"/>
      <c r="K57" s="26"/>
      <c r="L57" s="26"/>
      <c r="M57" s="26"/>
      <c r="N57" s="26"/>
      <c r="O57" s="189"/>
    </row>
    <row r="58" spans="1:16" hidden="1">
      <c r="B58" s="260" t="s">
        <v>250</v>
      </c>
      <c r="C58" s="267"/>
      <c r="D58" s="26">
        <v>0.5</v>
      </c>
      <c r="E58" s="26">
        <f t="shared" si="4"/>
        <v>0</v>
      </c>
      <c r="F58" s="26"/>
      <c r="G58" s="26"/>
      <c r="H58" s="26"/>
      <c r="I58" s="26"/>
      <c r="J58" s="26"/>
      <c r="K58" s="26"/>
      <c r="L58" s="26"/>
      <c r="M58" s="26"/>
      <c r="N58" s="26"/>
      <c r="O58" s="189"/>
    </row>
    <row r="59" spans="1:16" hidden="1">
      <c r="B59" s="260" t="s">
        <v>251</v>
      </c>
      <c r="C59" s="267"/>
      <c r="D59" s="26">
        <v>1</v>
      </c>
      <c r="E59" s="26">
        <f t="shared" si="4"/>
        <v>0</v>
      </c>
      <c r="F59" s="26"/>
      <c r="G59" s="26"/>
      <c r="H59" s="26"/>
      <c r="I59" s="26"/>
      <c r="J59" s="26"/>
      <c r="K59" s="26"/>
      <c r="L59" s="26"/>
      <c r="M59" s="26"/>
      <c r="N59" s="26"/>
      <c r="O59" s="189"/>
    </row>
    <row r="60" spans="1:16" ht="15.75" thickBot="1">
      <c r="A60" t="s">
        <v>336</v>
      </c>
      <c r="B60" s="308" t="s">
        <v>255</v>
      </c>
      <c r="C60" s="309"/>
      <c r="D60" s="309"/>
      <c r="E60" s="190">
        <f>SUM(E55:E59)</f>
        <v>0</v>
      </c>
      <c r="F60" s="190"/>
      <c r="G60" s="190">
        <v>5</v>
      </c>
      <c r="H60" s="190"/>
      <c r="I60" s="190"/>
      <c r="J60" s="190">
        <v>0</v>
      </c>
      <c r="K60" s="190"/>
      <c r="L60" s="190"/>
      <c r="M60" s="190"/>
      <c r="N60" s="190"/>
      <c r="O60" s="191"/>
      <c r="P60" s="190"/>
    </row>
    <row r="61" spans="1:16" ht="15.75" thickBot="1">
      <c r="B61" s="270" t="s">
        <v>256</v>
      </c>
      <c r="C61" s="270">
        <f>IF(C55&lt;$Z$9,$AA$9,IF(C55&lt;$Z$10,$AA$10,IF(C55&lt;$Z$11,$AA$11,$AA$16)))</f>
        <v>0</v>
      </c>
      <c r="D61" s="270"/>
      <c r="E61" s="223">
        <f>IF(E60&lt;$R$9,$S$9,IF(E60&lt;$R$10,$S$10,IF(E60&lt;$R$11,$S$11,$S$13)))</f>
        <v>0</v>
      </c>
      <c r="F61" s="223"/>
      <c r="G61" s="223">
        <f>IF(G55&lt;$R$16,$S$16,IF(G55&lt;$R$17,$S$17,IF(G55&lt;$R$18,$S$18,$S$19)))</f>
        <v>0</v>
      </c>
      <c r="H61" s="223"/>
      <c r="I61" s="223"/>
      <c r="J61" s="223">
        <f>IF(J55&lt;$R$22,$S$22,IF(J55&lt;$R$24,$S$24,IF(J55&lt;$R$25,$S$25,$S$26)))</f>
        <v>0</v>
      </c>
      <c r="K61" s="223"/>
      <c r="L61" s="223"/>
      <c r="M61" s="223">
        <f>IF(M55&lt;$R$29,$S$29,IF(M55&lt;$R$30,$S$30,IF(M55&lt;$R$31,$S$31,$S$32)))</f>
        <v>0</v>
      </c>
      <c r="N61" s="223"/>
      <c r="O61" s="223"/>
      <c r="P61" s="223"/>
    </row>
    <row r="62" spans="1:16" ht="15.75" thickTop="1"/>
    <row r="64" spans="1:16">
      <c r="G64" t="s">
        <v>314</v>
      </c>
    </row>
    <row r="65" spans="7:7">
      <c r="G65" t="s">
        <v>315</v>
      </c>
    </row>
    <row r="66" spans="7:7">
      <c r="G66" t="s">
        <v>316</v>
      </c>
    </row>
    <row r="67" spans="7:7">
      <c r="G67" t="s">
        <v>317</v>
      </c>
    </row>
    <row r="68" spans="7:7">
      <c r="G68" t="s">
        <v>318</v>
      </c>
    </row>
    <row r="69" spans="7:7">
      <c r="G69" t="s">
        <v>319</v>
      </c>
    </row>
    <row r="70" spans="7:7">
      <c r="G70" t="s">
        <v>320</v>
      </c>
    </row>
  </sheetData>
  <mergeCells count="57">
    <mergeCell ref="Q36:S36"/>
    <mergeCell ref="B38:D38"/>
    <mergeCell ref="B49:D49"/>
    <mergeCell ref="C42:F42"/>
    <mergeCell ref="G42:I42"/>
    <mergeCell ref="J42:L42"/>
    <mergeCell ref="M42:O42"/>
    <mergeCell ref="G43:I43"/>
    <mergeCell ref="J43:L43"/>
    <mergeCell ref="M43:O43"/>
    <mergeCell ref="Q21:S21"/>
    <mergeCell ref="B27:D27"/>
    <mergeCell ref="Q28:S28"/>
    <mergeCell ref="C31:F31"/>
    <mergeCell ref="G31:I31"/>
    <mergeCell ref="J31:L31"/>
    <mergeCell ref="M31:O31"/>
    <mergeCell ref="G21:I21"/>
    <mergeCell ref="J21:L21"/>
    <mergeCell ref="M21:O21"/>
    <mergeCell ref="B30:P30"/>
    <mergeCell ref="Q15:S15"/>
    <mergeCell ref="B16:D16"/>
    <mergeCell ref="C20:F20"/>
    <mergeCell ref="G20:I20"/>
    <mergeCell ref="J20:L20"/>
    <mergeCell ref="M20:O20"/>
    <mergeCell ref="B19:P19"/>
    <mergeCell ref="B2:P2"/>
    <mergeCell ref="Q8:S8"/>
    <mergeCell ref="C9:F9"/>
    <mergeCell ref="G9:I9"/>
    <mergeCell ref="J9:L9"/>
    <mergeCell ref="M9:O9"/>
    <mergeCell ref="B8:P8"/>
    <mergeCell ref="C3:F3"/>
    <mergeCell ref="G3:I3"/>
    <mergeCell ref="J3:L3"/>
    <mergeCell ref="M3:O3"/>
    <mergeCell ref="B5:D5"/>
    <mergeCell ref="B6:D6"/>
    <mergeCell ref="G10:I10"/>
    <mergeCell ref="J10:L10"/>
    <mergeCell ref="B52:P52"/>
    <mergeCell ref="B41:P41"/>
    <mergeCell ref="M10:O10"/>
    <mergeCell ref="G32:I32"/>
    <mergeCell ref="J32:L32"/>
    <mergeCell ref="M32:O32"/>
    <mergeCell ref="B60:D60"/>
    <mergeCell ref="G54:I54"/>
    <mergeCell ref="J54:L54"/>
    <mergeCell ref="M54:O54"/>
    <mergeCell ref="C53:F53"/>
    <mergeCell ref="G53:I53"/>
    <mergeCell ref="J53:L53"/>
    <mergeCell ref="M53:O53"/>
  </mergeCells>
  <pageMargins left="0.7" right="0.7" top="0.75" bottom="0.75" header="0.3" footer="0.3"/>
  <pageSetup paperSize="2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3F7E5-705D-4533-86B0-F17BD91C5855}">
  <dimension ref="A1:Y62"/>
  <sheetViews>
    <sheetView topLeftCell="A4" zoomScale="85" zoomScaleNormal="85" workbookViewId="0">
      <selection activeCell="U60" sqref="U60"/>
    </sheetView>
  </sheetViews>
  <sheetFormatPr defaultRowHeight="15"/>
  <cols>
    <col min="1" max="1" width="28.140625" customWidth="1"/>
    <col min="2" max="2" width="10.42578125" hidden="1" customWidth="1"/>
    <col min="3" max="3" width="0" style="264" hidden="1" customWidth="1"/>
    <col min="4" max="4" width="8.42578125" hidden="1" customWidth="1"/>
    <col min="5" max="5" width="9.7109375" hidden="1" customWidth="1"/>
    <col min="6" max="6" width="9.28515625" hidden="1" customWidth="1"/>
    <col min="9" max="9" width="18" customWidth="1"/>
    <col min="12" max="12" width="18" customWidth="1"/>
    <col min="13" max="13" width="0" hidden="1" customWidth="1"/>
    <col min="14" max="15" width="14.28515625" hidden="1" customWidth="1"/>
    <col min="17" max="17" width="18" bestFit="1" customWidth="1"/>
    <col min="18" max="18" width="17.28515625" customWidth="1"/>
    <col min="25" max="25" width="14.28515625" customWidth="1"/>
    <col min="26" max="26" width="13.28515625" customWidth="1"/>
  </cols>
  <sheetData>
    <row r="1" spans="1:19" ht="15.75" thickBot="1"/>
    <row r="2" spans="1:19">
      <c r="B2" s="303" t="s">
        <v>90</v>
      </c>
      <c r="C2" s="304"/>
      <c r="D2" s="304"/>
      <c r="E2" s="304"/>
      <c r="F2" s="304"/>
      <c r="G2" s="304"/>
      <c r="H2" s="304"/>
      <c r="I2" s="304"/>
      <c r="J2" s="304"/>
      <c r="K2" s="304"/>
      <c r="L2" s="304"/>
      <c r="M2" s="304"/>
      <c r="N2" s="304"/>
      <c r="O2" s="337"/>
    </row>
    <row r="3" spans="1:19">
      <c r="B3" s="11"/>
      <c r="C3" s="305" t="s">
        <v>308</v>
      </c>
      <c r="D3" s="305"/>
      <c r="E3" s="305"/>
      <c r="F3" s="305"/>
      <c r="G3" s="305" t="s">
        <v>309</v>
      </c>
      <c r="H3" s="305"/>
      <c r="I3" s="305"/>
      <c r="J3" s="305" t="s">
        <v>310</v>
      </c>
      <c r="K3" s="305"/>
      <c r="L3" s="305"/>
      <c r="M3" s="305" t="s">
        <v>311</v>
      </c>
      <c r="N3" s="305"/>
      <c r="O3" s="306"/>
    </row>
    <row r="4" spans="1:19" ht="15.75" thickBot="1">
      <c r="B4" s="11"/>
      <c r="C4" s="264">
        <v>0</v>
      </c>
      <c r="E4" s="194">
        <v>0</v>
      </c>
      <c r="F4" s="262"/>
      <c r="G4" s="264">
        <v>0</v>
      </c>
      <c r="H4" s="264"/>
      <c r="I4" s="264"/>
      <c r="J4" s="264">
        <v>0</v>
      </c>
      <c r="K4" s="264"/>
      <c r="L4" s="264"/>
      <c r="M4" s="264">
        <v>0</v>
      </c>
      <c r="N4" s="264"/>
      <c r="O4" s="263"/>
    </row>
    <row r="5" spans="1:19" ht="15.75" thickBot="1">
      <c r="B5" s="308" t="s">
        <v>255</v>
      </c>
      <c r="C5" s="309"/>
      <c r="D5" s="309"/>
      <c r="E5" s="262"/>
      <c r="F5" s="194"/>
      <c r="G5" s="194"/>
      <c r="H5" s="194"/>
      <c r="I5" s="194"/>
      <c r="J5" s="194"/>
      <c r="K5" s="194"/>
      <c r="L5" s="194"/>
      <c r="M5" s="194"/>
      <c r="N5" s="194"/>
      <c r="O5" s="195"/>
    </row>
    <row r="6" spans="1:19" ht="15.75" thickBot="1">
      <c r="B6" s="310" t="s">
        <v>256</v>
      </c>
      <c r="C6" s="310"/>
      <c r="D6" s="310"/>
      <c r="E6" s="223">
        <v>4</v>
      </c>
      <c r="F6" s="223"/>
      <c r="G6" s="223">
        <v>4</v>
      </c>
      <c r="H6" s="223"/>
      <c r="I6" s="223"/>
      <c r="J6" s="223">
        <v>4</v>
      </c>
      <c r="K6" s="223"/>
      <c r="L6" s="223"/>
      <c r="M6" s="223">
        <v>4</v>
      </c>
      <c r="N6" s="223"/>
      <c r="O6" s="223"/>
    </row>
    <row r="7" spans="1:19" ht="16.5" thickTop="1" thickBot="1"/>
    <row r="8" spans="1:19">
      <c r="B8" s="334" t="s">
        <v>285</v>
      </c>
      <c r="C8" s="335"/>
      <c r="D8" s="335"/>
      <c r="E8" s="335"/>
      <c r="F8" s="335"/>
      <c r="G8" s="335"/>
      <c r="H8" s="335"/>
      <c r="I8" s="335"/>
      <c r="J8" s="335"/>
      <c r="K8" s="335"/>
      <c r="L8" s="335"/>
      <c r="M8" s="335"/>
      <c r="N8" s="335"/>
      <c r="O8" s="336"/>
      <c r="Q8" s="307"/>
      <c r="R8" s="307"/>
      <c r="S8" s="307"/>
    </row>
    <row r="9" spans="1:19">
      <c r="B9" s="11"/>
      <c r="C9" s="305" t="s">
        <v>242</v>
      </c>
      <c r="D9" s="305"/>
      <c r="E9" s="305"/>
      <c r="F9" s="305"/>
      <c r="G9" s="305" t="s">
        <v>309</v>
      </c>
      <c r="H9" s="305"/>
      <c r="I9" s="305"/>
      <c r="J9" s="305" t="s">
        <v>310</v>
      </c>
      <c r="K9" s="305"/>
      <c r="L9" s="305"/>
      <c r="M9" s="305" t="s">
        <v>311</v>
      </c>
      <c r="N9" s="305"/>
      <c r="O9" s="306"/>
    </row>
    <row r="10" spans="1:19">
      <c r="B10" s="265"/>
      <c r="C10" s="266" t="s">
        <v>248</v>
      </c>
      <c r="D10" s="26" t="s">
        <v>253</v>
      </c>
      <c r="E10" s="26" t="s">
        <v>254</v>
      </c>
      <c r="F10" s="26"/>
      <c r="G10" s="305" t="s">
        <v>252</v>
      </c>
      <c r="H10" s="305"/>
      <c r="I10" s="305"/>
      <c r="J10" s="305" t="s">
        <v>252</v>
      </c>
      <c r="K10" s="305"/>
      <c r="L10" s="305"/>
      <c r="M10" s="305" t="s">
        <v>248</v>
      </c>
      <c r="N10" s="305"/>
      <c r="O10" s="306"/>
    </row>
    <row r="11" spans="1:19">
      <c r="A11" t="s">
        <v>335</v>
      </c>
      <c r="B11" s="265" t="s">
        <v>304</v>
      </c>
      <c r="C11" s="266"/>
      <c r="D11" s="26"/>
      <c r="E11" s="26"/>
      <c r="F11" s="26"/>
      <c r="G11" s="76">
        <v>5</v>
      </c>
      <c r="H11" s="76"/>
      <c r="I11" s="76"/>
      <c r="J11" s="76">
        <v>0</v>
      </c>
      <c r="K11" s="26"/>
      <c r="L11" s="26"/>
      <c r="M11" s="255"/>
      <c r="N11" s="26"/>
      <c r="O11" s="189"/>
    </row>
    <row r="12" spans="1:19" hidden="1">
      <c r="B12" s="260" t="s">
        <v>247</v>
      </c>
      <c r="C12" s="267"/>
      <c r="D12" s="26">
        <v>2</v>
      </c>
      <c r="E12" s="26">
        <f>C12*D12</f>
        <v>0</v>
      </c>
      <c r="F12" s="26"/>
      <c r="G12" s="76"/>
      <c r="H12" s="76"/>
      <c r="I12" s="76"/>
      <c r="J12" s="76"/>
      <c r="K12" s="26"/>
      <c r="L12" s="26"/>
      <c r="M12" s="255"/>
      <c r="N12" s="26"/>
      <c r="O12" s="189"/>
    </row>
    <row r="13" spans="1:19" hidden="1">
      <c r="B13" s="260" t="s">
        <v>249</v>
      </c>
      <c r="C13" s="267"/>
      <c r="D13" s="26">
        <v>5</v>
      </c>
      <c r="E13" s="26">
        <f t="shared" ref="E13:E15" si="0">C13*D13</f>
        <v>0</v>
      </c>
      <c r="F13" s="26"/>
      <c r="G13" s="26"/>
      <c r="H13" s="26"/>
      <c r="I13" s="26"/>
      <c r="J13" s="26"/>
      <c r="K13" s="26"/>
      <c r="L13" s="26"/>
      <c r="M13" s="26"/>
      <c r="N13" s="26"/>
      <c r="O13" s="189"/>
    </row>
    <row r="14" spans="1:19" hidden="1">
      <c r="B14" s="260" t="s">
        <v>250</v>
      </c>
      <c r="C14" s="268"/>
      <c r="D14" s="26">
        <v>0.5</v>
      </c>
      <c r="E14" s="26">
        <f t="shared" si="0"/>
        <v>0</v>
      </c>
      <c r="F14" s="26"/>
      <c r="G14" s="26"/>
      <c r="H14" s="26"/>
      <c r="I14" s="26"/>
      <c r="J14" s="26"/>
      <c r="K14" s="26"/>
      <c r="L14" s="26"/>
      <c r="M14" s="26"/>
      <c r="N14" s="26"/>
      <c r="O14" s="189"/>
    </row>
    <row r="15" spans="1:19" hidden="1">
      <c r="B15" s="260" t="s">
        <v>251</v>
      </c>
      <c r="C15" s="267"/>
      <c r="D15" s="26">
        <v>1</v>
      </c>
      <c r="E15" s="26">
        <f t="shared" si="0"/>
        <v>0</v>
      </c>
      <c r="F15" s="26"/>
      <c r="G15" s="26"/>
      <c r="H15" s="26"/>
      <c r="I15" s="26"/>
      <c r="J15" s="26"/>
      <c r="K15" s="26"/>
      <c r="L15" s="26"/>
      <c r="M15" s="26"/>
      <c r="N15" s="26"/>
      <c r="O15" s="189"/>
      <c r="Q15" s="307"/>
      <c r="R15" s="307"/>
      <c r="S15" s="307"/>
    </row>
    <row r="16" spans="1:19" ht="15.75" thickBot="1">
      <c r="A16" t="s">
        <v>336</v>
      </c>
      <c r="B16" s="308" t="s">
        <v>255</v>
      </c>
      <c r="C16" s="309"/>
      <c r="D16" s="309"/>
      <c r="E16" s="190">
        <f>SUM(E11:E15)</f>
        <v>0</v>
      </c>
      <c r="F16" s="190"/>
      <c r="G16" s="190">
        <v>2</v>
      </c>
      <c r="H16" s="190"/>
      <c r="I16" s="190"/>
      <c r="J16" s="190">
        <v>0</v>
      </c>
      <c r="K16" s="190"/>
      <c r="L16" s="190"/>
      <c r="M16" s="190"/>
      <c r="N16" s="190"/>
      <c r="O16" s="191"/>
    </row>
    <row r="17" spans="1:19" ht="15.75" customHeight="1" thickBot="1">
      <c r="B17" s="270" t="s">
        <v>256</v>
      </c>
      <c r="C17" s="270">
        <f>IF(C11&lt;$Z$9,$AA$9,IF(C11&lt;$Z$10,$AA$10,IF(C11&lt;$Z$11,$AA$11,$AA$16)))</f>
        <v>0</v>
      </c>
      <c r="D17" s="270"/>
      <c r="E17" s="223">
        <f>IF(E16&lt;$R$9,$S$9,IF(E16&lt;$R$10,$S$10,IF(E16&lt;$R$11,$S$11,$S$13)))</f>
        <v>0</v>
      </c>
      <c r="F17" s="223"/>
      <c r="G17" s="223">
        <f>IF(G11&lt;$R$16,$S$16,IF(G11&lt;$R$17,$S$17,IF(G11&lt;$R$18,$S$18,$S$19)))</f>
        <v>0</v>
      </c>
      <c r="H17" s="223"/>
      <c r="I17" s="223"/>
      <c r="J17" s="223">
        <f>IF(J11&lt;$R$22,$S$22,IF(J11&lt;$R$24,$S$24,IF(J11&lt;$R$25,$S$25,$S$26)))</f>
        <v>0</v>
      </c>
      <c r="K17" s="223"/>
      <c r="L17" s="223"/>
      <c r="M17" s="223">
        <f>IF(M11&lt;$R$29,$S$29,IF(M11&lt;$R$30,$S$30,IF(M11&lt;$R$31,$S$31,$S$32)))</f>
        <v>0</v>
      </c>
      <c r="N17" s="223"/>
      <c r="O17" s="223"/>
    </row>
    <row r="18" spans="1:19" ht="16.5" thickTop="1" thickBot="1"/>
    <row r="19" spans="1:19">
      <c r="B19" s="334" t="s">
        <v>305</v>
      </c>
      <c r="C19" s="335"/>
      <c r="D19" s="335"/>
      <c r="E19" s="335"/>
      <c r="F19" s="335"/>
      <c r="G19" s="335"/>
      <c r="H19" s="335"/>
      <c r="I19" s="335"/>
      <c r="J19" s="335"/>
      <c r="K19" s="335"/>
      <c r="L19" s="335"/>
      <c r="M19" s="335"/>
      <c r="N19" s="335"/>
      <c r="O19" s="336"/>
    </row>
    <row r="20" spans="1:19">
      <c r="B20" s="11"/>
      <c r="C20" s="305" t="s">
        <v>242</v>
      </c>
      <c r="D20" s="305"/>
      <c r="E20" s="305"/>
      <c r="F20" s="305"/>
      <c r="G20" s="305" t="s">
        <v>309</v>
      </c>
      <c r="H20" s="305"/>
      <c r="I20" s="305"/>
      <c r="J20" s="305" t="s">
        <v>310</v>
      </c>
      <c r="K20" s="305"/>
      <c r="L20" s="305"/>
      <c r="M20" s="305" t="s">
        <v>311</v>
      </c>
      <c r="N20" s="305"/>
      <c r="O20" s="306"/>
    </row>
    <row r="21" spans="1:19">
      <c r="B21" s="265"/>
      <c r="C21" s="266" t="s">
        <v>248</v>
      </c>
      <c r="D21" s="26" t="s">
        <v>253</v>
      </c>
      <c r="E21" s="26" t="s">
        <v>254</v>
      </c>
      <c r="F21" s="26"/>
      <c r="G21" s="305" t="s">
        <v>252</v>
      </c>
      <c r="H21" s="305"/>
      <c r="I21" s="305"/>
      <c r="J21" s="305" t="s">
        <v>252</v>
      </c>
      <c r="K21" s="305"/>
      <c r="L21" s="305"/>
      <c r="M21" s="305" t="s">
        <v>248</v>
      </c>
      <c r="N21" s="305"/>
      <c r="O21" s="306"/>
      <c r="Q21" s="307"/>
      <c r="R21" s="307"/>
      <c r="S21" s="307"/>
    </row>
    <row r="22" spans="1:19">
      <c r="A22" t="s">
        <v>335</v>
      </c>
      <c r="B22" s="265" t="s">
        <v>304</v>
      </c>
      <c r="C22" s="266"/>
      <c r="D22" s="26"/>
      <c r="E22" s="26"/>
      <c r="F22" s="26"/>
      <c r="G22" s="76">
        <v>3</v>
      </c>
      <c r="H22" s="76"/>
      <c r="I22" s="76"/>
      <c r="J22" s="76">
        <v>0</v>
      </c>
      <c r="K22" s="26"/>
      <c r="L22" s="26"/>
      <c r="M22" s="26"/>
      <c r="N22" s="26"/>
      <c r="O22" s="189"/>
    </row>
    <row r="23" spans="1:19" hidden="1">
      <c r="B23" s="260" t="s">
        <v>247</v>
      </c>
      <c r="C23" s="267"/>
      <c r="D23" s="26">
        <v>2</v>
      </c>
      <c r="E23" s="26">
        <f>C23*D23</f>
        <v>0</v>
      </c>
      <c r="F23" s="26"/>
      <c r="G23" s="76"/>
      <c r="H23" s="76"/>
      <c r="I23" s="76"/>
      <c r="J23" s="76"/>
      <c r="K23" s="26"/>
      <c r="L23" s="26"/>
      <c r="M23" s="26"/>
      <c r="N23" s="26"/>
      <c r="O23" s="189"/>
    </row>
    <row r="24" spans="1:19" hidden="1">
      <c r="B24" s="260" t="s">
        <v>249</v>
      </c>
      <c r="C24" s="267"/>
      <c r="D24" s="26">
        <v>5</v>
      </c>
      <c r="E24" s="26">
        <f t="shared" ref="E24:E26" si="1">C24*D24</f>
        <v>0</v>
      </c>
      <c r="F24" s="26"/>
      <c r="G24" s="26"/>
      <c r="H24" s="26"/>
      <c r="I24" s="26"/>
      <c r="J24" s="26"/>
      <c r="K24" s="26"/>
      <c r="L24" s="26"/>
      <c r="M24" s="26"/>
      <c r="N24" s="26"/>
      <c r="O24" s="189"/>
    </row>
    <row r="25" spans="1:19" hidden="1">
      <c r="B25" s="260" t="s">
        <v>250</v>
      </c>
      <c r="C25" s="267"/>
      <c r="D25" s="26">
        <v>0.5</v>
      </c>
      <c r="E25" s="26">
        <f t="shared" si="1"/>
        <v>0</v>
      </c>
      <c r="F25" s="26"/>
      <c r="G25" s="26"/>
      <c r="H25" s="26"/>
      <c r="I25" s="26"/>
      <c r="J25" s="26"/>
      <c r="K25" s="26"/>
      <c r="L25" s="26"/>
      <c r="M25" s="26"/>
      <c r="N25" s="26"/>
      <c r="O25" s="189"/>
    </row>
    <row r="26" spans="1:19" hidden="1">
      <c r="B26" s="260" t="s">
        <v>251</v>
      </c>
      <c r="C26" s="267"/>
      <c r="D26" s="26">
        <v>1</v>
      </c>
      <c r="E26" s="26">
        <f t="shared" si="1"/>
        <v>0</v>
      </c>
      <c r="F26" s="26"/>
      <c r="G26" s="26"/>
      <c r="H26" s="26"/>
      <c r="I26" s="26"/>
      <c r="J26" s="26"/>
      <c r="K26" s="26"/>
      <c r="L26" s="26"/>
      <c r="M26" s="26"/>
      <c r="N26" s="26"/>
      <c r="O26" s="189"/>
    </row>
    <row r="27" spans="1:19" ht="15.75" thickBot="1">
      <c r="A27" t="s">
        <v>336</v>
      </c>
      <c r="B27" s="308" t="s">
        <v>255</v>
      </c>
      <c r="C27" s="309"/>
      <c r="D27" s="309"/>
      <c r="E27" s="190">
        <f>SUM(E22:E26)</f>
        <v>0</v>
      </c>
      <c r="F27" s="190"/>
      <c r="G27" s="190">
        <v>1</v>
      </c>
      <c r="H27" s="190"/>
      <c r="I27" s="190"/>
      <c r="J27" s="190">
        <v>0</v>
      </c>
      <c r="K27" s="190"/>
      <c r="L27" s="190"/>
      <c r="M27" s="190"/>
      <c r="N27" s="190"/>
      <c r="O27" s="191"/>
    </row>
    <row r="28" spans="1:19" ht="15.75" customHeight="1" thickBot="1">
      <c r="B28" s="270" t="s">
        <v>256</v>
      </c>
      <c r="C28" s="270">
        <f>IF(C22&lt;$Z$9,$AA$9,IF(C22&lt;$Z$10,$AA$10,IF(C22&lt;$Z$11,$AA$11,$AA$16)))</f>
        <v>0</v>
      </c>
      <c r="D28" s="270"/>
      <c r="E28" s="223">
        <f>IF(E27&lt;$R$9,$S$9,IF(E27&lt;$R$10,$S$10,IF(E27&lt;$R$11,$S$11,$S$13)))</f>
        <v>0</v>
      </c>
      <c r="F28" s="223"/>
      <c r="G28" s="223">
        <f>IF(G22&lt;$R$16,$S$16,IF(G22&lt;$R$17,$S$17,IF(G22&lt;$R$18,$S$18,$S$19)))</f>
        <v>0</v>
      </c>
      <c r="H28" s="223"/>
      <c r="I28" s="223"/>
      <c r="J28" s="223">
        <f>IF(J22&lt;$R$22,$S$22,IF(J22&lt;$R$24,$S$24,IF(J22&lt;$R$25,$S$25,$S$26)))</f>
        <v>0</v>
      </c>
      <c r="K28" s="223"/>
      <c r="L28" s="223"/>
      <c r="M28" s="223">
        <f>IF(M22&lt;$R$29,$S$29,IF(M22&lt;$R$30,$S$30,IF(M22&lt;$R$31,$S$31,$S$32)))</f>
        <v>0</v>
      </c>
      <c r="N28" s="223"/>
      <c r="O28" s="223"/>
      <c r="Q28" s="307"/>
      <c r="R28" s="307"/>
      <c r="S28" s="307"/>
    </row>
    <row r="29" spans="1:19" ht="15.75" customHeight="1" thickTop="1" thickBot="1">
      <c r="Q29" s="269"/>
    </row>
    <row r="30" spans="1:19">
      <c r="B30" s="331" t="s">
        <v>286</v>
      </c>
      <c r="C30" s="332"/>
      <c r="D30" s="332"/>
      <c r="E30" s="332"/>
      <c r="F30" s="332"/>
      <c r="G30" s="332"/>
      <c r="H30" s="332"/>
      <c r="I30" s="332"/>
      <c r="J30" s="332"/>
      <c r="K30" s="332"/>
      <c r="L30" s="332"/>
      <c r="M30" s="332"/>
      <c r="N30" s="332"/>
      <c r="O30" s="333"/>
    </row>
    <row r="31" spans="1:19">
      <c r="B31" s="11"/>
      <c r="C31" s="305" t="s">
        <v>242</v>
      </c>
      <c r="D31" s="305"/>
      <c r="E31" s="305"/>
      <c r="F31" s="305"/>
      <c r="G31" s="305" t="s">
        <v>309</v>
      </c>
      <c r="H31" s="305"/>
      <c r="I31" s="305"/>
      <c r="J31" s="305" t="s">
        <v>310</v>
      </c>
      <c r="K31" s="305"/>
      <c r="L31" s="305"/>
      <c r="M31" s="305" t="s">
        <v>311</v>
      </c>
      <c r="N31" s="305"/>
      <c r="O31" s="306"/>
    </row>
    <row r="32" spans="1:19">
      <c r="B32" s="265"/>
      <c r="C32" s="266" t="s">
        <v>248</v>
      </c>
      <c r="D32" s="26" t="s">
        <v>253</v>
      </c>
      <c r="E32" s="26" t="s">
        <v>254</v>
      </c>
      <c r="F32" s="26"/>
      <c r="G32" s="305" t="s">
        <v>252</v>
      </c>
      <c r="H32" s="305"/>
      <c r="I32" s="305"/>
      <c r="J32" s="305" t="s">
        <v>252</v>
      </c>
      <c r="K32" s="305"/>
      <c r="L32" s="305"/>
      <c r="M32" s="305" t="s">
        <v>248</v>
      </c>
      <c r="N32" s="305"/>
      <c r="O32" s="306"/>
    </row>
    <row r="33" spans="1:25">
      <c r="A33" t="s">
        <v>335</v>
      </c>
      <c r="B33" s="265" t="s">
        <v>304</v>
      </c>
      <c r="C33" s="266"/>
      <c r="D33" s="26"/>
      <c r="E33" s="26"/>
      <c r="F33" s="26"/>
      <c r="G33" s="76">
        <v>3</v>
      </c>
      <c r="H33" s="26"/>
      <c r="I33" s="26"/>
      <c r="J33" s="76">
        <v>3</v>
      </c>
      <c r="K33" s="26"/>
      <c r="L33" s="26"/>
      <c r="M33" s="26"/>
      <c r="N33" s="26"/>
      <c r="O33" s="189"/>
    </row>
    <row r="34" spans="1:25" hidden="1">
      <c r="B34" s="260" t="s">
        <v>247</v>
      </c>
      <c r="C34" s="267"/>
      <c r="D34" s="26">
        <v>2</v>
      </c>
      <c r="E34" s="26">
        <f>C34*D34</f>
        <v>0</v>
      </c>
      <c r="F34" s="26"/>
      <c r="G34" s="76"/>
      <c r="H34" s="26"/>
      <c r="I34" s="26"/>
      <c r="J34" s="76"/>
      <c r="K34" s="26"/>
      <c r="L34" s="26"/>
      <c r="M34" s="26"/>
      <c r="N34" s="26"/>
      <c r="O34" s="189"/>
    </row>
    <row r="35" spans="1:25" hidden="1">
      <c r="B35" s="260" t="s">
        <v>249</v>
      </c>
      <c r="C35" s="267"/>
      <c r="D35" s="26">
        <v>5</v>
      </c>
      <c r="E35" s="26">
        <f t="shared" ref="E35:E37" si="2">C35*D35</f>
        <v>0</v>
      </c>
      <c r="F35" s="26"/>
      <c r="G35" s="26"/>
      <c r="H35" s="26"/>
      <c r="I35" s="26"/>
      <c r="J35" s="26"/>
      <c r="K35" s="26"/>
      <c r="L35" s="26"/>
      <c r="M35" s="26"/>
      <c r="N35" s="26"/>
      <c r="O35" s="189"/>
    </row>
    <row r="36" spans="1:25" hidden="1">
      <c r="B36" s="260" t="s">
        <v>250</v>
      </c>
      <c r="C36" s="267"/>
      <c r="D36" s="26">
        <v>0.5</v>
      </c>
      <c r="E36" s="26">
        <f t="shared" si="2"/>
        <v>0</v>
      </c>
      <c r="F36" s="26"/>
      <c r="G36" s="26"/>
      <c r="H36" s="26"/>
      <c r="I36" s="26"/>
      <c r="J36" s="26"/>
      <c r="K36" s="26"/>
      <c r="L36" s="26"/>
      <c r="M36" s="26"/>
      <c r="N36" s="26"/>
      <c r="O36" s="189"/>
      <c r="Q36" s="307"/>
      <c r="R36" s="307"/>
      <c r="S36" s="307"/>
    </row>
    <row r="37" spans="1:25" hidden="1">
      <c r="B37" s="260" t="s">
        <v>251</v>
      </c>
      <c r="C37" s="267"/>
      <c r="D37" s="26">
        <v>1</v>
      </c>
      <c r="E37" s="26">
        <f t="shared" si="2"/>
        <v>0</v>
      </c>
      <c r="F37" s="26"/>
      <c r="G37" s="26"/>
      <c r="H37" s="26"/>
      <c r="I37" s="26"/>
      <c r="J37" s="26"/>
      <c r="K37" s="26"/>
      <c r="L37" s="26"/>
      <c r="M37" s="26"/>
      <c r="N37" s="26"/>
      <c r="O37" s="189"/>
      <c r="Q37" s="226"/>
      <c r="R37" s="226"/>
      <c r="Y37" t="s">
        <v>336</v>
      </c>
    </row>
    <row r="38" spans="1:25" ht="15.75" thickBot="1">
      <c r="A38" t="s">
        <v>336</v>
      </c>
      <c r="B38" s="308" t="s">
        <v>255</v>
      </c>
      <c r="C38" s="309"/>
      <c r="D38" s="309"/>
      <c r="E38" s="190">
        <f>SUM(E33:E37)</f>
        <v>0</v>
      </c>
      <c r="F38" s="190"/>
      <c r="G38" s="190">
        <v>2</v>
      </c>
      <c r="H38" s="190"/>
      <c r="I38" s="190"/>
      <c r="J38" s="190">
        <v>0</v>
      </c>
      <c r="K38" s="190"/>
      <c r="L38" s="190"/>
      <c r="M38" s="190"/>
      <c r="N38" s="190"/>
      <c r="O38" s="191"/>
      <c r="Q38" s="226"/>
      <c r="R38" s="226"/>
    </row>
    <row r="39" spans="1:25" ht="15.75" thickBot="1">
      <c r="B39" s="270" t="s">
        <v>256</v>
      </c>
      <c r="C39" s="270">
        <f>IF(C33&lt;$Z$9,$AA$9,IF(C33&lt;$Z$10,$AA$10,IF(C33&lt;$Z$11,$AA$11,$AA$16)))</f>
        <v>0</v>
      </c>
      <c r="D39" s="270"/>
      <c r="E39" s="223">
        <f>IF(E38&lt;$R$9,$S$9,IF(E38&lt;$R$10,$S$10,IF(E38&lt;$R$11,$S$11,$S$13)))</f>
        <v>0</v>
      </c>
      <c r="F39" s="223"/>
      <c r="G39" s="223">
        <f>IF(G33&lt;$R$16,$S$16,IF(G33&lt;$R$17,$S$17,IF(G33&lt;$R$18,$S$18,$S$19)))</f>
        <v>0</v>
      </c>
      <c r="H39" s="223"/>
      <c r="I39" s="223"/>
      <c r="J39" s="223">
        <f>IF(J33&lt;$R$22,$S$22,IF(J33&lt;$R$24,$S$24,IF(J33&lt;$R$25,$S$25,$S$26)))</f>
        <v>0</v>
      </c>
      <c r="K39" s="223"/>
      <c r="L39" s="223"/>
      <c r="M39" s="223">
        <f>IF(M33&lt;$R$29,$S$29,IF(M33&lt;$R$30,$S$30,IF(M33&lt;$R$31,$S$31,$S$32)))</f>
        <v>0</v>
      </c>
      <c r="N39" s="223"/>
      <c r="O39" s="223"/>
      <c r="Q39" s="226"/>
      <c r="R39" s="226"/>
    </row>
    <row r="40" spans="1:25" ht="16.5" thickTop="1" thickBot="1">
      <c r="Q40" s="226"/>
      <c r="R40" s="226"/>
    </row>
    <row r="41" spans="1:25">
      <c r="B41" s="331" t="s">
        <v>306</v>
      </c>
      <c r="C41" s="332"/>
      <c r="D41" s="332"/>
      <c r="E41" s="332"/>
      <c r="F41" s="332"/>
      <c r="G41" s="332"/>
      <c r="H41" s="332"/>
      <c r="I41" s="332"/>
      <c r="J41" s="332"/>
      <c r="K41" s="332"/>
      <c r="L41" s="332"/>
      <c r="M41" s="332"/>
      <c r="N41" s="332"/>
      <c r="O41" s="333"/>
    </row>
    <row r="42" spans="1:25">
      <c r="B42" s="11"/>
      <c r="C42" s="305" t="s">
        <v>242</v>
      </c>
      <c r="D42" s="305"/>
      <c r="E42" s="305"/>
      <c r="F42" s="305"/>
      <c r="G42" s="305" t="s">
        <v>309</v>
      </c>
      <c r="H42" s="305"/>
      <c r="I42" s="305"/>
      <c r="J42" s="305" t="s">
        <v>310</v>
      </c>
      <c r="K42" s="305"/>
      <c r="L42" s="305"/>
      <c r="M42" s="305" t="s">
        <v>311</v>
      </c>
      <c r="N42" s="305"/>
      <c r="O42" s="306"/>
    </row>
    <row r="43" spans="1:25">
      <c r="B43" s="265"/>
      <c r="C43" s="266" t="s">
        <v>248</v>
      </c>
      <c r="D43" s="26" t="s">
        <v>253</v>
      </c>
      <c r="E43" s="26" t="s">
        <v>254</v>
      </c>
      <c r="F43" s="26"/>
      <c r="G43" s="305" t="s">
        <v>252</v>
      </c>
      <c r="H43" s="305"/>
      <c r="I43" s="305"/>
      <c r="J43" s="305" t="s">
        <v>252</v>
      </c>
      <c r="K43" s="305"/>
      <c r="L43" s="305"/>
      <c r="M43" s="305" t="s">
        <v>248</v>
      </c>
      <c r="N43" s="305"/>
      <c r="O43" s="306"/>
    </row>
    <row r="44" spans="1:25">
      <c r="A44" t="s">
        <v>335</v>
      </c>
      <c r="B44" s="265" t="s">
        <v>304</v>
      </c>
      <c r="C44" s="266"/>
      <c r="D44" s="26"/>
      <c r="E44" s="26"/>
      <c r="F44" s="26"/>
      <c r="G44" s="76">
        <v>4</v>
      </c>
      <c r="H44" s="26"/>
      <c r="I44" s="26"/>
      <c r="J44" s="76">
        <v>3</v>
      </c>
      <c r="K44" s="26"/>
      <c r="L44" s="26"/>
      <c r="M44" s="26"/>
      <c r="N44" s="26"/>
      <c r="O44" s="189"/>
    </row>
    <row r="45" spans="1:25" hidden="1">
      <c r="B45" s="260" t="s">
        <v>247</v>
      </c>
      <c r="C45" s="267"/>
      <c r="D45" s="26">
        <v>2</v>
      </c>
      <c r="E45" s="26">
        <f>C45*D45</f>
        <v>0</v>
      </c>
      <c r="F45" s="26"/>
      <c r="G45" s="76"/>
      <c r="H45" s="26"/>
      <c r="I45" s="26"/>
      <c r="J45" s="76"/>
      <c r="K45" s="26"/>
      <c r="L45" s="26"/>
      <c r="M45" s="26"/>
      <c r="N45" s="26"/>
      <c r="O45" s="189"/>
    </row>
    <row r="46" spans="1:25" hidden="1">
      <c r="B46" s="260" t="s">
        <v>249</v>
      </c>
      <c r="C46" s="267"/>
      <c r="D46" s="26">
        <v>5</v>
      </c>
      <c r="E46" s="26">
        <f t="shared" ref="E46:E48" si="3">C46*D46</f>
        <v>0</v>
      </c>
      <c r="F46" s="26"/>
      <c r="G46" s="26"/>
      <c r="H46" s="26"/>
      <c r="I46" s="26"/>
      <c r="J46" s="26"/>
      <c r="K46" s="26"/>
      <c r="L46" s="26"/>
      <c r="M46" s="26"/>
      <c r="N46" s="26"/>
      <c r="O46" s="189"/>
    </row>
    <row r="47" spans="1:25" hidden="1">
      <c r="B47" s="260" t="s">
        <v>250</v>
      </c>
      <c r="C47" s="267"/>
      <c r="D47" s="26">
        <v>0.5</v>
      </c>
      <c r="E47" s="26">
        <f t="shared" si="3"/>
        <v>0</v>
      </c>
      <c r="F47" s="26"/>
      <c r="G47" s="26"/>
      <c r="H47" s="26"/>
      <c r="I47" s="26"/>
      <c r="J47" s="26"/>
      <c r="K47" s="26"/>
      <c r="L47" s="26"/>
      <c r="M47" s="26"/>
      <c r="N47" s="26"/>
      <c r="O47" s="189"/>
    </row>
    <row r="48" spans="1:25" hidden="1">
      <c r="B48" s="260" t="s">
        <v>251</v>
      </c>
      <c r="C48" s="267"/>
      <c r="D48" s="26">
        <v>1</v>
      </c>
      <c r="E48" s="26">
        <f t="shared" si="3"/>
        <v>0</v>
      </c>
      <c r="F48" s="26"/>
      <c r="G48" s="26"/>
      <c r="H48" s="26"/>
      <c r="I48" s="26"/>
      <c r="J48" s="26"/>
      <c r="K48" s="26"/>
      <c r="L48" s="26"/>
      <c r="M48" s="26"/>
      <c r="N48" s="26"/>
      <c r="O48" s="189"/>
    </row>
    <row r="49" spans="1:15" ht="15.75" thickBot="1">
      <c r="A49" t="s">
        <v>336</v>
      </c>
      <c r="B49" s="308" t="s">
        <v>255</v>
      </c>
      <c r="C49" s="309"/>
      <c r="D49" s="309"/>
      <c r="E49" s="190">
        <f>SUM(E44:E48)</f>
        <v>0</v>
      </c>
      <c r="F49" s="190"/>
      <c r="G49" s="190">
        <v>1</v>
      </c>
      <c r="H49" s="190"/>
      <c r="I49" s="190"/>
      <c r="J49" s="190">
        <v>0</v>
      </c>
      <c r="K49" s="190"/>
      <c r="L49" s="190"/>
      <c r="M49" s="190"/>
      <c r="N49" s="190"/>
      <c r="O49" s="191"/>
    </row>
    <row r="50" spans="1:15" ht="15.75" customHeight="1" thickBot="1">
      <c r="B50" s="270" t="s">
        <v>256</v>
      </c>
      <c r="C50" s="270">
        <f>IF(C44&lt;$Z$9,$AA$9,IF(C44&lt;$Z$10,$AA$10,IF(C44&lt;$Z$11,$AA$11,$AA$16)))</f>
        <v>0</v>
      </c>
      <c r="D50" s="270"/>
      <c r="E50" s="223">
        <f>IF(E49&lt;$R$9,$S$9,IF(E49&lt;$R$10,$S$10,IF(E49&lt;$R$11,$S$11,$S$13)))</f>
        <v>0</v>
      </c>
      <c r="F50" s="223"/>
      <c r="G50" s="223">
        <f>IF(G44&lt;$R$16,$S$16,IF(G44&lt;$R$17,$S$17,IF(G44&lt;$R$18,$S$18,$S$19)))</f>
        <v>0</v>
      </c>
      <c r="H50" s="223"/>
      <c r="I50" s="223"/>
      <c r="J50" s="223">
        <f>IF(J44&lt;$R$22,$S$22,IF(J44&lt;$R$24,$S$24,IF(J44&lt;$R$25,$S$25,$S$26)))</f>
        <v>0</v>
      </c>
      <c r="K50" s="223"/>
      <c r="L50" s="223"/>
      <c r="M50" s="223">
        <f>IF(M44&lt;$R$29,$S$29,IF(M44&lt;$R$30,$S$30,IF(M44&lt;$R$31,$S$31,$S$32)))</f>
        <v>0</v>
      </c>
      <c r="N50" s="223"/>
      <c r="O50" s="223"/>
    </row>
    <row r="51" spans="1:15" ht="16.5" thickTop="1" thickBot="1"/>
    <row r="52" spans="1:15">
      <c r="B52" s="328" t="s">
        <v>307</v>
      </c>
      <c r="C52" s="329"/>
      <c r="D52" s="329"/>
      <c r="E52" s="329"/>
      <c r="F52" s="329"/>
      <c r="G52" s="329"/>
      <c r="H52" s="329"/>
      <c r="I52" s="329"/>
      <c r="J52" s="329"/>
      <c r="K52" s="329"/>
      <c r="L52" s="329"/>
      <c r="M52" s="329"/>
      <c r="N52" s="329"/>
      <c r="O52" s="330"/>
    </row>
    <row r="53" spans="1:15">
      <c r="B53" s="11"/>
      <c r="C53" s="305" t="s">
        <v>242</v>
      </c>
      <c r="D53" s="305"/>
      <c r="E53" s="305"/>
      <c r="F53" s="305"/>
      <c r="G53" s="305" t="s">
        <v>309</v>
      </c>
      <c r="H53" s="305"/>
      <c r="I53" s="305"/>
      <c r="J53" s="305" t="s">
        <v>310</v>
      </c>
      <c r="K53" s="305"/>
      <c r="L53" s="305"/>
      <c r="M53" s="305" t="s">
        <v>311</v>
      </c>
      <c r="N53" s="305"/>
      <c r="O53" s="306"/>
    </row>
    <row r="54" spans="1:15">
      <c r="B54" s="265"/>
      <c r="C54" s="266" t="s">
        <v>248</v>
      </c>
      <c r="D54" s="26" t="s">
        <v>253</v>
      </c>
      <c r="E54" s="26" t="s">
        <v>254</v>
      </c>
      <c r="F54" s="26"/>
      <c r="G54" s="305" t="s">
        <v>252</v>
      </c>
      <c r="H54" s="305"/>
      <c r="I54" s="305"/>
      <c r="J54" s="305" t="s">
        <v>252</v>
      </c>
      <c r="K54" s="305"/>
      <c r="L54" s="305"/>
      <c r="M54" s="305" t="s">
        <v>248</v>
      </c>
      <c r="N54" s="305"/>
      <c r="O54" s="306"/>
    </row>
    <row r="55" spans="1:15">
      <c r="A55" t="s">
        <v>335</v>
      </c>
      <c r="B55" s="265" t="s">
        <v>304</v>
      </c>
      <c r="C55" s="266"/>
      <c r="D55" s="26"/>
      <c r="E55" s="26"/>
      <c r="F55" s="26"/>
      <c r="G55" s="76">
        <v>3</v>
      </c>
      <c r="H55" s="26"/>
      <c r="I55" s="26"/>
      <c r="J55" s="76">
        <v>0</v>
      </c>
      <c r="K55" s="26"/>
      <c r="L55" s="26"/>
      <c r="M55" s="26"/>
      <c r="N55" s="26"/>
      <c r="O55" s="189"/>
    </row>
    <row r="56" spans="1:15" hidden="1">
      <c r="B56" s="260" t="s">
        <v>247</v>
      </c>
      <c r="C56" s="267"/>
      <c r="D56" s="26">
        <v>2</v>
      </c>
      <c r="E56" s="26">
        <f>C56*D56</f>
        <v>0</v>
      </c>
      <c r="F56" s="26"/>
      <c r="G56" s="76"/>
      <c r="H56" s="26"/>
      <c r="I56" s="26"/>
      <c r="J56" s="76"/>
      <c r="K56" s="26"/>
      <c r="L56" s="26"/>
      <c r="M56" s="26"/>
      <c r="N56" s="26"/>
      <c r="O56" s="189"/>
    </row>
    <row r="57" spans="1:15" hidden="1">
      <c r="B57" s="260" t="s">
        <v>249</v>
      </c>
      <c r="C57" s="267"/>
      <c r="D57" s="26">
        <v>5</v>
      </c>
      <c r="E57" s="26">
        <f t="shared" ref="E57:E59" si="4">C57*D57</f>
        <v>0</v>
      </c>
      <c r="F57" s="26"/>
      <c r="G57" s="26"/>
      <c r="H57" s="26"/>
      <c r="I57" s="26"/>
      <c r="J57" s="26"/>
      <c r="K57" s="26"/>
      <c r="L57" s="26"/>
      <c r="M57" s="26"/>
      <c r="N57" s="26"/>
      <c r="O57" s="189"/>
    </row>
    <row r="58" spans="1:15" hidden="1">
      <c r="B58" s="260" t="s">
        <v>250</v>
      </c>
      <c r="C58" s="267"/>
      <c r="D58" s="26">
        <v>0.5</v>
      </c>
      <c r="E58" s="26">
        <f t="shared" si="4"/>
        <v>0</v>
      </c>
      <c r="F58" s="26"/>
      <c r="G58" s="26"/>
      <c r="H58" s="26"/>
      <c r="I58" s="26"/>
      <c r="J58" s="26"/>
      <c r="K58" s="26"/>
      <c r="L58" s="26"/>
      <c r="M58" s="26"/>
      <c r="N58" s="26"/>
      <c r="O58" s="189"/>
    </row>
    <row r="59" spans="1:15" hidden="1">
      <c r="B59" s="260" t="s">
        <v>251</v>
      </c>
      <c r="C59" s="267"/>
      <c r="D59" s="26">
        <v>1</v>
      </c>
      <c r="E59" s="26">
        <f t="shared" si="4"/>
        <v>0</v>
      </c>
      <c r="F59" s="26"/>
      <c r="G59" s="26"/>
      <c r="H59" s="26"/>
      <c r="I59" s="26"/>
      <c r="J59" s="26"/>
      <c r="K59" s="26"/>
      <c r="L59" s="26"/>
      <c r="M59" s="26"/>
      <c r="N59" s="26"/>
      <c r="O59" s="189"/>
    </row>
    <row r="60" spans="1:15" ht="15.75" thickBot="1">
      <c r="A60" t="s">
        <v>336</v>
      </c>
      <c r="B60" s="308" t="s">
        <v>255</v>
      </c>
      <c r="C60" s="309"/>
      <c r="D60" s="309"/>
      <c r="E60" s="190">
        <f>SUM(E55:E59)</f>
        <v>0</v>
      </c>
      <c r="F60" s="190"/>
      <c r="G60" s="190">
        <v>1</v>
      </c>
      <c r="H60" s="190"/>
      <c r="I60" s="190"/>
      <c r="J60" s="190">
        <v>0</v>
      </c>
      <c r="K60" s="190"/>
      <c r="L60" s="190"/>
      <c r="M60" s="190"/>
      <c r="N60" s="190"/>
      <c r="O60" s="191"/>
    </row>
    <row r="61" spans="1:15" ht="15.75" thickBot="1">
      <c r="B61" s="270" t="s">
        <v>256</v>
      </c>
      <c r="C61" s="270">
        <f>IF(C55&lt;$Z$9,$AA$9,IF(C55&lt;$Z$10,$AA$10,IF(C55&lt;$Z$11,$AA$11,$AA$16)))</f>
        <v>0</v>
      </c>
      <c r="D61" s="270"/>
      <c r="E61" s="223">
        <f>IF(E60&lt;$R$9,$S$9,IF(E60&lt;$R$10,$S$10,IF(E60&lt;$R$11,$S$11,$S$13)))</f>
        <v>0</v>
      </c>
      <c r="F61" s="223"/>
      <c r="G61" s="223">
        <f>IF(G55&lt;$R$16,$S$16,IF(G55&lt;$R$17,$S$17,IF(G55&lt;$R$18,$S$18,$S$19)))</f>
        <v>0</v>
      </c>
      <c r="H61" s="223"/>
      <c r="I61" s="223"/>
      <c r="J61" s="223">
        <f>IF(J55&lt;$R$22,$S$22,IF(J55&lt;$R$24,$S$24,IF(J55&lt;$R$25,$S$25,$S$26)))</f>
        <v>0</v>
      </c>
      <c r="K61" s="223"/>
      <c r="L61" s="223"/>
      <c r="M61" s="223">
        <f>IF(M55&lt;$R$29,$S$29,IF(M55&lt;$R$30,$S$30,IF(M55&lt;$R$31,$S$31,$S$32)))</f>
        <v>0</v>
      </c>
      <c r="N61" s="223"/>
      <c r="O61" s="223"/>
    </row>
    <row r="62" spans="1:15" ht="15.75" thickTop="1"/>
  </sheetData>
  <mergeCells count="57">
    <mergeCell ref="B5:D5"/>
    <mergeCell ref="B2:O2"/>
    <mergeCell ref="C3:F3"/>
    <mergeCell ref="G3:I3"/>
    <mergeCell ref="J3:L3"/>
    <mergeCell ref="M3:O3"/>
    <mergeCell ref="B19:O19"/>
    <mergeCell ref="B6:D6"/>
    <mergeCell ref="B8:O8"/>
    <mergeCell ref="Q8:S8"/>
    <mergeCell ref="C9:F9"/>
    <mergeCell ref="G9:I9"/>
    <mergeCell ref="J9:L9"/>
    <mergeCell ref="M9:O9"/>
    <mergeCell ref="G10:I10"/>
    <mergeCell ref="J10:L10"/>
    <mergeCell ref="M10:O10"/>
    <mergeCell ref="Q15:S15"/>
    <mergeCell ref="B16:D16"/>
    <mergeCell ref="C20:F20"/>
    <mergeCell ref="G20:I20"/>
    <mergeCell ref="J20:L20"/>
    <mergeCell ref="M20:O20"/>
    <mergeCell ref="G21:I21"/>
    <mergeCell ref="J21:L21"/>
    <mergeCell ref="M21:O21"/>
    <mergeCell ref="B41:O41"/>
    <mergeCell ref="Q21:S21"/>
    <mergeCell ref="B27:D27"/>
    <mergeCell ref="Q28:S28"/>
    <mergeCell ref="B30:O30"/>
    <mergeCell ref="C31:F31"/>
    <mergeCell ref="G31:I31"/>
    <mergeCell ref="J31:L31"/>
    <mergeCell ref="M31:O31"/>
    <mergeCell ref="G32:I32"/>
    <mergeCell ref="J32:L32"/>
    <mergeCell ref="M32:O32"/>
    <mergeCell ref="Q36:S36"/>
    <mergeCell ref="B38:D38"/>
    <mergeCell ref="C42:F42"/>
    <mergeCell ref="G42:I42"/>
    <mergeCell ref="J42:L42"/>
    <mergeCell ref="M42:O42"/>
    <mergeCell ref="G43:I43"/>
    <mergeCell ref="J43:L43"/>
    <mergeCell ref="M43:O43"/>
    <mergeCell ref="G54:I54"/>
    <mergeCell ref="J54:L54"/>
    <mergeCell ref="M54:O54"/>
    <mergeCell ref="B60:D60"/>
    <mergeCell ref="B49:D49"/>
    <mergeCell ref="B52:O52"/>
    <mergeCell ref="C53:F53"/>
    <mergeCell ref="G53:I53"/>
    <mergeCell ref="J53:L53"/>
    <mergeCell ref="M53:O53"/>
  </mergeCells>
  <pageMargins left="0.7" right="0.7" top="0.75" bottom="0.75" header="0.3" footer="0.3"/>
  <pageSetup paperSize="25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795A4-196E-4E04-9170-B5D305DE166E}">
  <dimension ref="A1:I30"/>
  <sheetViews>
    <sheetView tabSelected="1" topLeftCell="B16" zoomScale="90" zoomScaleNormal="90" workbookViewId="0">
      <selection activeCell="H31" sqref="H31"/>
    </sheetView>
  </sheetViews>
  <sheetFormatPr defaultRowHeight="15"/>
  <cols>
    <col min="2" max="2" width="27.140625" bestFit="1" customWidth="1"/>
    <col min="3" max="3" width="9.7109375" bestFit="1" customWidth="1"/>
    <col min="4" max="4" width="8.7109375" customWidth="1"/>
    <col min="5" max="5" width="9.7109375" bestFit="1" customWidth="1"/>
    <col min="7" max="7" width="9.7109375" bestFit="1" customWidth="1"/>
  </cols>
  <sheetData>
    <row r="1" spans="1:9" ht="18.75">
      <c r="A1" s="338" t="s">
        <v>338</v>
      </c>
      <c r="B1" s="338"/>
      <c r="C1" s="338"/>
      <c r="D1" s="338"/>
      <c r="E1" s="338"/>
      <c r="F1" s="338"/>
      <c r="G1" s="338"/>
      <c r="H1" s="338"/>
      <c r="I1" s="338"/>
    </row>
    <row r="2" spans="1:9" ht="15.75" thickBot="1"/>
    <row r="3" spans="1:9" ht="15.75" thickBot="1">
      <c r="B3" s="339" t="s">
        <v>321</v>
      </c>
      <c r="C3" s="340"/>
      <c r="D3" s="340"/>
      <c r="E3" s="340"/>
      <c r="F3" s="341"/>
    </row>
    <row r="4" spans="1:9" ht="15.75" thickBot="1">
      <c r="B4" s="298"/>
      <c r="C4" s="342" t="s">
        <v>334</v>
      </c>
      <c r="D4" s="343"/>
      <c r="E4" s="344" t="s">
        <v>333</v>
      </c>
      <c r="F4" s="343"/>
    </row>
    <row r="5" spans="1:9" ht="15.75" thickBot="1">
      <c r="B5" s="299"/>
      <c r="C5" s="72" t="s">
        <v>324</v>
      </c>
      <c r="D5" s="14" t="s">
        <v>325</v>
      </c>
      <c r="E5" s="271" t="s">
        <v>324</v>
      </c>
      <c r="F5" s="14" t="s">
        <v>325</v>
      </c>
    </row>
    <row r="6" spans="1:9">
      <c r="B6" s="300" t="s">
        <v>322</v>
      </c>
      <c r="C6" s="296">
        <f>Displacements!G11</f>
        <v>5</v>
      </c>
      <c r="D6" s="273">
        <f>Displacements!J11</f>
        <v>0</v>
      </c>
      <c r="E6" s="272">
        <f>Displacements!G16</f>
        <v>2</v>
      </c>
      <c r="F6" s="272">
        <f>Displacements!J16</f>
        <v>0</v>
      </c>
    </row>
    <row r="7" spans="1:9" ht="15.75" thickBot="1">
      <c r="B7" s="301" t="s">
        <v>327</v>
      </c>
      <c r="C7" s="295">
        <f>Displacements!G22</f>
        <v>3</v>
      </c>
      <c r="D7" s="275">
        <f>Displacements!J22</f>
        <v>0</v>
      </c>
      <c r="E7" s="274">
        <f>Displacements!G27</f>
        <v>1</v>
      </c>
      <c r="F7" s="274">
        <f>Displacements!J27</f>
        <v>0</v>
      </c>
    </row>
    <row r="8" spans="1:9">
      <c r="B8" s="300" t="s">
        <v>323</v>
      </c>
      <c r="C8" s="296">
        <f>Displacements!G33</f>
        <v>3</v>
      </c>
      <c r="D8" s="273">
        <f>Displacements!J33</f>
        <v>3</v>
      </c>
      <c r="E8" s="272">
        <f>Displacements!G38</f>
        <v>2</v>
      </c>
      <c r="F8" s="272">
        <f>Displacements!J38</f>
        <v>0</v>
      </c>
    </row>
    <row r="9" spans="1:9" ht="15.75" thickBot="1">
      <c r="B9" s="301" t="s">
        <v>331</v>
      </c>
      <c r="C9" s="295">
        <f>Displacements!G44</f>
        <v>4</v>
      </c>
      <c r="D9" s="275">
        <f>Displacements!J44</f>
        <v>3</v>
      </c>
      <c r="E9" s="274">
        <f>Displacements!G49</f>
        <v>1</v>
      </c>
      <c r="F9" s="274">
        <f>Displacements!J49</f>
        <v>0</v>
      </c>
    </row>
    <row r="10" spans="1:9" ht="15.75" thickBot="1">
      <c r="B10" s="299" t="s">
        <v>328</v>
      </c>
      <c r="C10" s="293">
        <f>Displacements!G55</f>
        <v>3</v>
      </c>
      <c r="D10" s="277">
        <f>Displacements!J55</f>
        <v>0</v>
      </c>
      <c r="E10" s="276">
        <f>Displacements!G60</f>
        <v>1</v>
      </c>
      <c r="F10" s="276">
        <f>Displacements!J60</f>
        <v>0</v>
      </c>
    </row>
    <row r="11" spans="1:9" ht="15.75" thickBot="1"/>
    <row r="12" spans="1:9" ht="15.75" thickBot="1">
      <c r="B12" s="339" t="s">
        <v>326</v>
      </c>
      <c r="C12" s="340"/>
      <c r="D12" s="340"/>
      <c r="E12" s="340"/>
      <c r="F12" s="340"/>
      <c r="G12" s="341"/>
    </row>
    <row r="13" spans="1:9" ht="15.75" thickBot="1">
      <c r="B13" s="298"/>
      <c r="C13" s="340" t="s">
        <v>334</v>
      </c>
      <c r="D13" s="341"/>
      <c r="E13" s="342" t="s">
        <v>333</v>
      </c>
      <c r="F13" s="343"/>
      <c r="G13" s="189"/>
    </row>
    <row r="14" spans="1:9" ht="15.75" thickBot="1">
      <c r="B14" s="299"/>
      <c r="C14" s="293" t="s">
        <v>324</v>
      </c>
      <c r="D14" s="277" t="s">
        <v>325</v>
      </c>
      <c r="E14" s="293" t="s">
        <v>324</v>
      </c>
      <c r="F14" s="277" t="s">
        <v>325</v>
      </c>
      <c r="G14" s="280" t="s">
        <v>249</v>
      </c>
    </row>
    <row r="15" spans="1:9">
      <c r="B15" s="300" t="s">
        <v>322</v>
      </c>
      <c r="C15" s="294">
        <f>Impacts!G11</f>
        <v>9</v>
      </c>
      <c r="D15" s="283">
        <f>Impacts!J11</f>
        <v>0</v>
      </c>
      <c r="E15" s="294">
        <f>Impacts!G16</f>
        <v>4</v>
      </c>
      <c r="F15" s="283">
        <f>Impacts!J16</f>
        <v>0</v>
      </c>
      <c r="G15" s="285">
        <f>Impacts!P11</f>
        <v>15.176100000000002</v>
      </c>
    </row>
    <row r="16" spans="1:9" ht="15.75" thickBot="1">
      <c r="B16" s="301" t="s">
        <v>327</v>
      </c>
      <c r="C16" s="295">
        <f>Impacts!G22</f>
        <v>8</v>
      </c>
      <c r="D16" s="282">
        <f>Impacts!J22</f>
        <v>0</v>
      </c>
      <c r="E16" s="295">
        <f>Impacts!G27</f>
        <v>5</v>
      </c>
      <c r="F16" s="282">
        <f>Impacts!J27</f>
        <v>0</v>
      </c>
      <c r="G16" s="286">
        <f>Impacts!P22</f>
        <v>15.168800000000001</v>
      </c>
    </row>
    <row r="17" spans="2:8">
      <c r="B17" s="300" t="s">
        <v>323</v>
      </c>
      <c r="C17" s="296">
        <f>Impacts!G33</f>
        <v>5</v>
      </c>
      <c r="D17" s="273">
        <f>Impacts!J33</f>
        <v>0</v>
      </c>
      <c r="E17" s="296">
        <f>Impacts!G38</f>
        <v>4</v>
      </c>
      <c r="F17" s="273">
        <f>Impacts!J38</f>
        <v>0</v>
      </c>
      <c r="G17" s="287">
        <f>Impacts!P33</f>
        <v>2.1408</v>
      </c>
    </row>
    <row r="18" spans="2:8" ht="15.75" thickBot="1">
      <c r="B18" s="301" t="s">
        <v>331</v>
      </c>
      <c r="C18" s="297">
        <f>Impacts!G44</f>
        <v>4</v>
      </c>
      <c r="D18" s="292">
        <f>Impacts!J44</f>
        <v>5</v>
      </c>
      <c r="E18" s="297">
        <f>Impacts!G49</f>
        <v>5</v>
      </c>
      <c r="F18" s="292">
        <f>Impacts!J49</f>
        <v>0</v>
      </c>
      <c r="G18" s="288">
        <f>Impacts!P44</f>
        <v>1.8980999999999999</v>
      </c>
    </row>
    <row r="19" spans="2:8" ht="15.75" thickBot="1">
      <c r="B19" s="299" t="s">
        <v>328</v>
      </c>
      <c r="C19" s="293">
        <f>Impacts!G55</f>
        <v>4</v>
      </c>
      <c r="D19" s="277">
        <f>Impacts!J55</f>
        <v>2</v>
      </c>
      <c r="E19" s="293">
        <f>Impacts!G60</f>
        <v>5</v>
      </c>
      <c r="F19" s="277">
        <f>Impacts!J60</f>
        <v>0</v>
      </c>
      <c r="G19" s="289">
        <f>Impacts!P55</f>
        <v>1.0004999999999999</v>
      </c>
    </row>
    <row r="22" spans="2:8" ht="15.75" thickBot="1"/>
    <row r="23" spans="2:8" ht="15.75" thickBot="1">
      <c r="B23" s="339" t="s">
        <v>332</v>
      </c>
      <c r="C23" s="340"/>
      <c r="D23" s="340"/>
      <c r="E23" s="340"/>
      <c r="F23" s="340"/>
      <c r="G23" s="340"/>
      <c r="H23" s="341"/>
    </row>
    <row r="24" spans="2:8" ht="15.75" thickBot="1">
      <c r="B24" s="298"/>
      <c r="C24" s="342" t="s">
        <v>334</v>
      </c>
      <c r="D24" s="343"/>
      <c r="E24" s="344" t="s">
        <v>333</v>
      </c>
      <c r="F24" s="343"/>
      <c r="G24" s="339" t="s">
        <v>337</v>
      </c>
      <c r="H24" s="341"/>
    </row>
    <row r="25" spans="2:8" ht="15.75" thickBot="1">
      <c r="B25" s="299"/>
      <c r="C25" s="72" t="s">
        <v>324</v>
      </c>
      <c r="D25" s="14" t="s">
        <v>325</v>
      </c>
      <c r="E25" s="271" t="s">
        <v>324</v>
      </c>
      <c r="F25" s="14" t="s">
        <v>325</v>
      </c>
      <c r="G25" s="271" t="s">
        <v>324</v>
      </c>
      <c r="H25" s="14" t="s">
        <v>325</v>
      </c>
    </row>
    <row r="26" spans="2:8">
      <c r="B26" s="300" t="s">
        <v>322</v>
      </c>
      <c r="C26" s="296">
        <f>C6+C15</f>
        <v>14</v>
      </c>
      <c r="D26" s="283">
        <f>D15+D6</f>
        <v>0</v>
      </c>
      <c r="E26" s="272">
        <f>E6+E15</f>
        <v>6</v>
      </c>
      <c r="F26" s="283">
        <f>F15+F6</f>
        <v>0</v>
      </c>
      <c r="G26" s="272">
        <f>C26+E26</f>
        <v>20</v>
      </c>
      <c r="H26" s="273">
        <f t="shared" ref="H26:H29" si="0">D26+F26</f>
        <v>0</v>
      </c>
    </row>
    <row r="27" spans="2:8" ht="15.75" thickBot="1">
      <c r="B27" s="301" t="s">
        <v>327</v>
      </c>
      <c r="C27" s="295">
        <f>C7+C16</f>
        <v>11</v>
      </c>
      <c r="D27" s="282">
        <f>D16+D7</f>
        <v>0</v>
      </c>
      <c r="E27" s="274">
        <f>E7+E16</f>
        <v>6</v>
      </c>
      <c r="F27" s="282">
        <f>F16+F7</f>
        <v>0</v>
      </c>
      <c r="G27" s="290">
        <f t="shared" ref="G27:G30" si="1">C27+E27</f>
        <v>17</v>
      </c>
      <c r="H27" s="275">
        <f t="shared" si="0"/>
        <v>0</v>
      </c>
    </row>
    <row r="28" spans="2:8">
      <c r="B28" s="300" t="s">
        <v>323</v>
      </c>
      <c r="C28" s="296">
        <f>C8+C17</f>
        <v>8</v>
      </c>
      <c r="D28" s="284">
        <f>D17+D8</f>
        <v>3</v>
      </c>
      <c r="E28" s="272">
        <f>E8+E17</f>
        <v>6</v>
      </c>
      <c r="F28" s="284">
        <f>F17+F8</f>
        <v>0</v>
      </c>
      <c r="G28" s="272">
        <f t="shared" si="1"/>
        <v>14</v>
      </c>
      <c r="H28" s="273">
        <f t="shared" si="0"/>
        <v>3</v>
      </c>
    </row>
    <row r="29" spans="2:8" ht="15.75" thickBot="1">
      <c r="B29" s="301" t="s">
        <v>331</v>
      </c>
      <c r="C29" s="295">
        <f>C9+C18</f>
        <v>8</v>
      </c>
      <c r="D29" s="275">
        <f>D18+D9</f>
        <v>8</v>
      </c>
      <c r="E29" s="274">
        <f>E9+E18</f>
        <v>6</v>
      </c>
      <c r="F29" s="275">
        <f>F18+F9</f>
        <v>0</v>
      </c>
      <c r="G29" s="290">
        <f t="shared" si="1"/>
        <v>14</v>
      </c>
      <c r="H29" s="275">
        <f t="shared" si="0"/>
        <v>8</v>
      </c>
    </row>
    <row r="30" spans="2:8" ht="15.75" thickBot="1">
      <c r="B30" s="299" t="s">
        <v>328</v>
      </c>
      <c r="C30" s="302">
        <f>C10+C19</f>
        <v>7</v>
      </c>
      <c r="D30" s="277">
        <f>D19+D10</f>
        <v>2</v>
      </c>
      <c r="E30" s="281">
        <f>E10+E19</f>
        <v>6</v>
      </c>
      <c r="F30" s="277">
        <f>F19+F10</f>
        <v>0</v>
      </c>
      <c r="G30" s="291">
        <f t="shared" si="1"/>
        <v>13</v>
      </c>
      <c r="H30" s="277">
        <f>D30+F30</f>
        <v>2</v>
      </c>
    </row>
  </sheetData>
  <mergeCells count="11">
    <mergeCell ref="G24:H24"/>
    <mergeCell ref="B23:H23"/>
    <mergeCell ref="C24:D24"/>
    <mergeCell ref="E24:F24"/>
    <mergeCell ref="C4:D4"/>
    <mergeCell ref="E4:F4"/>
    <mergeCell ref="A1:I1"/>
    <mergeCell ref="B3:F3"/>
    <mergeCell ref="C13:D13"/>
    <mergeCell ref="E13:F13"/>
    <mergeCell ref="B12:G12"/>
  </mergeCells>
  <pageMargins left="0.25" right="0.25" top="0.75" bottom="0.75" header="0.3" footer="0.3"/>
  <pageSetup orientation="portrait" r:id="rId1"/>
  <ignoredErrors>
    <ignoredError sqref="D26:D30 E26:E30 F26:F30"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V69"/>
  <sheetViews>
    <sheetView topLeftCell="E8" zoomScale="50" zoomScaleNormal="50" workbookViewId="0">
      <selection activeCell="T21" sqref="T21"/>
    </sheetView>
  </sheetViews>
  <sheetFormatPr defaultColWidth="9.140625" defaultRowHeight="15"/>
  <cols>
    <col min="1" max="4" width="44.85546875" style="75" hidden="1" customWidth="1"/>
    <col min="5" max="5" width="69.140625" customWidth="1"/>
    <col min="6" max="6" width="23.42578125" hidden="1" customWidth="1"/>
    <col min="7" max="7" width="20.7109375" style="75" customWidth="1"/>
    <col min="8" max="8" width="25.7109375" style="75" hidden="1" customWidth="1"/>
    <col min="9" max="9" width="20.7109375" style="75" customWidth="1"/>
    <col min="10" max="10" width="25.7109375" style="75" hidden="1" customWidth="1"/>
    <col min="11" max="11" width="20.7109375" style="75" customWidth="1"/>
    <col min="12" max="12" width="25.7109375" style="75" hidden="1" customWidth="1"/>
    <col min="13" max="13" width="20.7109375" style="75" customWidth="1"/>
    <col min="14" max="14" width="25.7109375" style="75" hidden="1" customWidth="1"/>
    <col min="15" max="15" width="20.7109375" style="75" customWidth="1"/>
    <col min="16" max="16" width="25.7109375" style="75" hidden="1" customWidth="1"/>
    <col min="17" max="17" width="20.7109375" style="75" customWidth="1"/>
    <col min="18" max="18" width="25.7109375" style="75" hidden="1" customWidth="1"/>
    <col min="19" max="19" width="21.85546875" style="75" hidden="1" customWidth="1"/>
    <col min="20" max="20" width="147.140625" style="75" customWidth="1"/>
    <col min="21" max="16384" width="9.140625" style="75"/>
  </cols>
  <sheetData>
    <row r="1" spans="1:22" ht="46.5">
      <c r="E1" s="346" t="s">
        <v>96</v>
      </c>
      <c r="F1" s="346"/>
      <c r="G1" s="346"/>
      <c r="H1" s="346"/>
      <c r="I1" s="346"/>
      <c r="J1" s="346"/>
      <c r="K1" s="346"/>
      <c r="L1" s="346"/>
      <c r="M1" s="346"/>
      <c r="N1" s="346"/>
      <c r="O1" s="346"/>
      <c r="P1" s="346"/>
      <c r="Q1" s="346"/>
      <c r="R1" s="346"/>
    </row>
    <row r="2" spans="1:22" customFormat="1" ht="17.25" customHeight="1" thickBot="1">
      <c r="E2" s="79"/>
      <c r="F2" s="79"/>
    </row>
    <row r="3" spans="1:22" customFormat="1" ht="105.75" thickBot="1">
      <c r="A3" s="201" t="s">
        <v>128</v>
      </c>
      <c r="B3" s="227"/>
      <c r="C3" s="227"/>
      <c r="D3" s="227"/>
      <c r="E3" s="198" t="s">
        <v>0</v>
      </c>
      <c r="F3" s="201" t="s">
        <v>104</v>
      </c>
      <c r="G3" s="198" t="s">
        <v>90</v>
      </c>
      <c r="H3" s="199" t="s">
        <v>102</v>
      </c>
      <c r="I3" s="199" t="s">
        <v>282</v>
      </c>
      <c r="J3" s="199" t="s">
        <v>82</v>
      </c>
      <c r="K3" s="199" t="s">
        <v>283</v>
      </c>
      <c r="L3" s="199" t="s">
        <v>87</v>
      </c>
      <c r="M3" s="199" t="s">
        <v>284</v>
      </c>
      <c r="N3" s="199" t="s">
        <v>86</v>
      </c>
      <c r="O3" s="199" t="s">
        <v>285</v>
      </c>
      <c r="P3" s="199" t="s">
        <v>85</v>
      </c>
      <c r="Q3" s="199" t="s">
        <v>286</v>
      </c>
      <c r="R3" s="200"/>
      <c r="S3" s="90"/>
      <c r="T3" s="94" t="s">
        <v>110</v>
      </c>
    </row>
    <row r="4" spans="1:22" customFormat="1" ht="105.75" hidden="1" thickBot="1">
      <c r="A4" s="217"/>
      <c r="B4" s="228"/>
      <c r="C4" s="228"/>
      <c r="D4" s="228"/>
      <c r="E4" s="218"/>
      <c r="F4" s="217"/>
      <c r="G4" s="219"/>
      <c r="H4" s="220"/>
      <c r="I4" s="199" t="s">
        <v>276</v>
      </c>
      <c r="J4" s="199" t="s">
        <v>82</v>
      </c>
      <c r="K4" s="199" t="s">
        <v>277</v>
      </c>
      <c r="L4" s="199" t="s">
        <v>87</v>
      </c>
      <c r="M4" s="199" t="s">
        <v>278</v>
      </c>
      <c r="N4" s="199" t="s">
        <v>86</v>
      </c>
      <c r="O4" s="199" t="s">
        <v>279</v>
      </c>
      <c r="P4" s="199" t="s">
        <v>85</v>
      </c>
      <c r="Q4" s="199" t="s">
        <v>280</v>
      </c>
      <c r="R4" s="221"/>
      <c r="S4" s="222"/>
      <c r="T4" s="94"/>
    </row>
    <row r="5" spans="1:22" s="78" customFormat="1" ht="45" customHeight="1">
      <c r="A5" s="203" t="s">
        <v>130</v>
      </c>
      <c r="B5" s="203"/>
      <c r="C5" s="203"/>
      <c r="D5" s="203"/>
      <c r="E5" s="204" t="s">
        <v>76</v>
      </c>
      <c r="F5" s="86">
        <v>0.12</v>
      </c>
      <c r="G5" s="214">
        <v>0</v>
      </c>
      <c r="H5" s="215" t="s">
        <v>105</v>
      </c>
      <c r="I5" s="246">
        <v>4</v>
      </c>
      <c r="J5" s="247" t="s">
        <v>265</v>
      </c>
      <c r="K5" s="246">
        <v>4</v>
      </c>
      <c r="L5" s="247" t="s">
        <v>266</v>
      </c>
      <c r="M5" s="246">
        <v>3</v>
      </c>
      <c r="N5" s="247" t="s">
        <v>267</v>
      </c>
      <c r="O5" s="246">
        <v>3</v>
      </c>
      <c r="P5" s="247" t="s">
        <v>139</v>
      </c>
      <c r="Q5" s="246">
        <v>3</v>
      </c>
      <c r="R5" s="102" t="s">
        <v>138</v>
      </c>
      <c r="S5" s="91" t="s">
        <v>145</v>
      </c>
      <c r="T5" s="95" t="s">
        <v>268</v>
      </c>
      <c r="U5" s="100" t="s">
        <v>269</v>
      </c>
    </row>
    <row r="6" spans="1:22" s="78" customFormat="1" ht="45" customHeight="1">
      <c r="A6" s="205" t="s">
        <v>130</v>
      </c>
      <c r="B6" s="205"/>
      <c r="C6" s="205"/>
      <c r="D6" s="205"/>
      <c r="E6" s="206" t="s">
        <v>88</v>
      </c>
      <c r="F6" s="87">
        <v>0.12</v>
      </c>
      <c r="G6" s="211">
        <v>0</v>
      </c>
      <c r="H6" s="212" t="s">
        <v>106</v>
      </c>
      <c r="I6" s="248">
        <v>4</v>
      </c>
      <c r="J6" s="249" t="s">
        <v>137</v>
      </c>
      <c r="K6" s="248">
        <v>4</v>
      </c>
      <c r="L6" s="249" t="s">
        <v>144</v>
      </c>
      <c r="M6" s="248">
        <v>3</v>
      </c>
      <c r="N6" s="249"/>
      <c r="O6" s="248">
        <v>2</v>
      </c>
      <c r="P6" s="249" t="s">
        <v>147</v>
      </c>
      <c r="Q6" s="248">
        <v>3</v>
      </c>
      <c r="R6" s="82" t="s">
        <v>147</v>
      </c>
      <c r="S6" s="105" t="s">
        <v>146</v>
      </c>
      <c r="T6" s="95" t="s">
        <v>127</v>
      </c>
      <c r="U6" s="101"/>
      <c r="V6" s="78" t="s">
        <v>125</v>
      </c>
    </row>
    <row r="7" spans="1:22" s="78" customFormat="1" ht="45" customHeight="1">
      <c r="A7" s="205" t="s">
        <v>130</v>
      </c>
      <c r="B7" s="205"/>
      <c r="C7" s="205"/>
      <c r="D7" s="205"/>
      <c r="E7" s="206" t="s">
        <v>77</v>
      </c>
      <c r="F7" s="87">
        <v>0.12</v>
      </c>
      <c r="G7" s="211">
        <v>0</v>
      </c>
      <c r="H7" s="212" t="s">
        <v>107</v>
      </c>
      <c r="I7" s="248">
        <v>3</v>
      </c>
      <c r="J7" s="249" t="s">
        <v>136</v>
      </c>
      <c r="K7" s="248">
        <v>3</v>
      </c>
      <c r="L7" s="249" t="s">
        <v>136</v>
      </c>
      <c r="M7" s="248">
        <v>4</v>
      </c>
      <c r="N7" s="250" t="s">
        <v>149</v>
      </c>
      <c r="O7" s="248">
        <v>4</v>
      </c>
      <c r="P7" s="250" t="s">
        <v>149</v>
      </c>
      <c r="Q7" s="248">
        <v>4</v>
      </c>
      <c r="R7" s="92" t="s">
        <v>149</v>
      </c>
      <c r="S7" s="92" t="s">
        <v>149</v>
      </c>
      <c r="T7" s="95" t="s">
        <v>121</v>
      </c>
      <c r="U7"/>
      <c r="V7"/>
    </row>
    <row r="8" spans="1:22" s="78" customFormat="1" ht="45" customHeight="1">
      <c r="A8" s="205" t="s">
        <v>132</v>
      </c>
      <c r="B8" s="205"/>
      <c r="C8" s="205"/>
      <c r="D8" s="205"/>
      <c r="E8" s="206" t="s">
        <v>120</v>
      </c>
      <c r="F8" s="87">
        <v>0.12</v>
      </c>
      <c r="G8" s="211">
        <v>0</v>
      </c>
      <c r="H8" s="212" t="s">
        <v>105</v>
      </c>
      <c r="I8" s="251">
        <v>4</v>
      </c>
      <c r="J8" s="249" t="s">
        <v>135</v>
      </c>
      <c r="K8" s="251">
        <v>4</v>
      </c>
      <c r="L8" s="250" t="s">
        <v>154</v>
      </c>
      <c r="M8" s="251">
        <v>3</v>
      </c>
      <c r="N8" s="250" t="s">
        <v>153</v>
      </c>
      <c r="O8" s="251">
        <v>3</v>
      </c>
      <c r="P8" s="250" t="s">
        <v>152</v>
      </c>
      <c r="Q8" s="251">
        <v>3</v>
      </c>
      <c r="R8" s="92" t="s">
        <v>152</v>
      </c>
      <c r="S8" s="92" t="s">
        <v>150</v>
      </c>
      <c r="T8" s="95" t="s">
        <v>124</v>
      </c>
      <c r="U8"/>
      <c r="V8"/>
    </row>
    <row r="9" spans="1:22" s="78" customFormat="1" ht="45" customHeight="1">
      <c r="A9" s="205" t="s">
        <v>132</v>
      </c>
      <c r="B9" s="205"/>
      <c r="C9" s="205"/>
      <c r="D9" s="205"/>
      <c r="E9" s="206" t="s">
        <v>97</v>
      </c>
      <c r="F9" s="87">
        <v>7.0000000000000007E-2</v>
      </c>
      <c r="G9" s="211">
        <v>4</v>
      </c>
      <c r="H9" s="212" t="s">
        <v>108</v>
      </c>
      <c r="I9" s="251">
        <f>'Quantity Impacts'!P45</f>
        <v>2</v>
      </c>
      <c r="J9" s="249" t="s">
        <v>111</v>
      </c>
      <c r="K9" s="251">
        <f>'Quantity Impacts'!P55</f>
        <v>2</v>
      </c>
      <c r="L9" s="250" t="s">
        <v>112</v>
      </c>
      <c r="M9" s="251">
        <f>'Quantity Impacts'!P15</f>
        <v>1</v>
      </c>
      <c r="N9" s="250" t="s">
        <v>113</v>
      </c>
      <c r="O9" s="251">
        <f>'Quantity Impacts'!P25</f>
        <v>1</v>
      </c>
      <c r="P9" s="250" t="s">
        <v>114</v>
      </c>
      <c r="Q9" s="251">
        <f>'Quantity Impacts'!P35</f>
        <v>1</v>
      </c>
      <c r="R9" s="82" t="s">
        <v>115</v>
      </c>
      <c r="S9" s="92" t="s">
        <v>118</v>
      </c>
      <c r="T9" s="106" t="s">
        <v>287</v>
      </c>
      <c r="U9"/>
      <c r="V9"/>
    </row>
    <row r="10" spans="1:22" s="78" customFormat="1" ht="45" customHeight="1">
      <c r="A10" s="205" t="s">
        <v>132</v>
      </c>
      <c r="B10" s="205"/>
      <c r="C10" s="205"/>
      <c r="D10" s="205"/>
      <c r="E10" s="206" t="s">
        <v>300</v>
      </c>
      <c r="F10" s="87">
        <v>0.05</v>
      </c>
      <c r="G10" s="211">
        <f>'Quantity Impacts'!G5</f>
        <v>4</v>
      </c>
      <c r="H10" s="212" t="s">
        <v>270</v>
      </c>
      <c r="I10" s="251">
        <f>'Quantity Impacts'!G45</f>
        <v>1</v>
      </c>
      <c r="J10" s="249" t="s">
        <v>155</v>
      </c>
      <c r="K10" s="251">
        <f>'Quantity Impacts'!G55</f>
        <v>2</v>
      </c>
      <c r="L10" s="250" t="s">
        <v>155</v>
      </c>
      <c r="M10" s="251">
        <f>'Quantity Impacts'!G15</f>
        <v>2</v>
      </c>
      <c r="N10" s="250" t="s">
        <v>156</v>
      </c>
      <c r="O10" s="251">
        <f>'Quantity Impacts'!G25</f>
        <v>2</v>
      </c>
      <c r="P10" s="250" t="s">
        <v>156</v>
      </c>
      <c r="Q10" s="251">
        <f>'Quantity Impacts'!G35</f>
        <v>3</v>
      </c>
      <c r="R10" s="89" t="s">
        <v>156</v>
      </c>
      <c r="S10" s="89" t="s">
        <v>156</v>
      </c>
      <c r="T10" s="106" t="s">
        <v>273</v>
      </c>
      <c r="U10"/>
      <c r="V10"/>
    </row>
    <row r="11" spans="1:22" s="78" customFormat="1" ht="45" customHeight="1">
      <c r="A11" s="205" t="s">
        <v>132</v>
      </c>
      <c r="B11" s="205"/>
      <c r="C11" s="205"/>
      <c r="D11" s="205"/>
      <c r="E11" s="206" t="s">
        <v>299</v>
      </c>
      <c r="F11" s="87">
        <v>0</v>
      </c>
      <c r="G11" s="103">
        <v>0</v>
      </c>
      <c r="H11" s="104"/>
      <c r="I11" s="103">
        <f>'Quantity Impacts'!G40</f>
        <v>87</v>
      </c>
      <c r="J11" s="103"/>
      <c r="K11" s="103">
        <f>'Quantity Impacts'!G50</f>
        <v>69</v>
      </c>
      <c r="L11" s="103"/>
      <c r="M11" s="103">
        <f>'Quantity Impacts'!G10</f>
        <v>50</v>
      </c>
      <c r="N11" s="103"/>
      <c r="O11" s="103">
        <f>'Quantity Impacts'!G20</f>
        <v>47</v>
      </c>
      <c r="P11" s="103"/>
      <c r="Q11" s="103">
        <f>'Quantity Impacts'!G30</f>
        <v>22</v>
      </c>
      <c r="R11" s="104"/>
      <c r="S11" s="89"/>
      <c r="T11" s="106" t="s">
        <v>274</v>
      </c>
      <c r="U11"/>
      <c r="V11"/>
    </row>
    <row r="12" spans="1:22" s="78" customFormat="1" ht="45" customHeight="1">
      <c r="A12" s="205" t="s">
        <v>132</v>
      </c>
      <c r="B12" s="205"/>
      <c r="C12" s="205"/>
      <c r="D12" s="205"/>
      <c r="E12" s="206" t="s">
        <v>301</v>
      </c>
      <c r="F12" s="87">
        <v>0.05</v>
      </c>
      <c r="G12" s="211">
        <f>'Quantity Impacts'!J5</f>
        <v>4</v>
      </c>
      <c r="H12" s="212" t="s">
        <v>270</v>
      </c>
      <c r="I12" s="251">
        <f>'Quantity Impacts'!J45</f>
        <v>1</v>
      </c>
      <c r="J12" s="249" t="s">
        <v>155</v>
      </c>
      <c r="K12" s="251">
        <f>'Quantity Impacts'!J55</f>
        <v>1</v>
      </c>
      <c r="L12" s="250" t="s">
        <v>155</v>
      </c>
      <c r="M12" s="251">
        <f>'Quantity Impacts'!J15</f>
        <v>3</v>
      </c>
      <c r="N12" s="250" t="s">
        <v>156</v>
      </c>
      <c r="O12" s="251">
        <f>'Quantity Impacts'!J25</f>
        <v>3</v>
      </c>
      <c r="P12" s="250" t="s">
        <v>156</v>
      </c>
      <c r="Q12" s="251">
        <f>'Quantity Impacts'!J35</f>
        <v>4</v>
      </c>
      <c r="R12" s="89" t="s">
        <v>156</v>
      </c>
      <c r="S12" s="89"/>
      <c r="T12" s="106" t="s">
        <v>272</v>
      </c>
      <c r="U12"/>
      <c r="V12"/>
    </row>
    <row r="13" spans="1:22" s="78" customFormat="1" ht="45" customHeight="1">
      <c r="A13" s="205" t="s">
        <v>132</v>
      </c>
      <c r="B13" s="205"/>
      <c r="C13" s="205"/>
      <c r="D13" s="205"/>
      <c r="E13" s="206" t="s">
        <v>302</v>
      </c>
      <c r="F13" s="87">
        <v>0</v>
      </c>
      <c r="G13" s="103">
        <v>0</v>
      </c>
      <c r="H13" s="103"/>
      <c r="I13" s="103">
        <f>'Quantity Impacts'!J40</f>
        <v>217</v>
      </c>
      <c r="J13" s="103"/>
      <c r="K13" s="103">
        <f>'Quantity Impacts'!J50</f>
        <v>185</v>
      </c>
      <c r="L13" s="103"/>
      <c r="M13" s="103">
        <f>'Quantity Impacts'!J10</f>
        <v>33</v>
      </c>
      <c r="N13" s="103"/>
      <c r="O13" s="103">
        <f>'Quantity Impacts'!J20</f>
        <v>40</v>
      </c>
      <c r="P13" s="103"/>
      <c r="Q13" s="103">
        <f>'Quantity Impacts'!J30</f>
        <v>21</v>
      </c>
      <c r="R13" s="104"/>
      <c r="S13" s="89"/>
      <c r="T13" s="106" t="s">
        <v>275</v>
      </c>
      <c r="U13"/>
      <c r="V13"/>
    </row>
    <row r="14" spans="1:22" s="78" customFormat="1" ht="45" customHeight="1">
      <c r="A14" s="205" t="s">
        <v>132</v>
      </c>
      <c r="B14" s="205"/>
      <c r="C14" s="205"/>
      <c r="D14" s="205"/>
      <c r="E14" s="206" t="s">
        <v>259</v>
      </c>
      <c r="F14" s="87">
        <v>0.05</v>
      </c>
      <c r="G14" s="211">
        <f>'Quantity Impacts'!M5</f>
        <v>4</v>
      </c>
      <c r="H14" s="212" t="s">
        <v>270</v>
      </c>
      <c r="I14" s="251">
        <f>'Quantity Impacts'!M45</f>
        <v>2</v>
      </c>
      <c r="J14" s="249" t="s">
        <v>155</v>
      </c>
      <c r="K14" s="251">
        <f>'Quantity Impacts'!M55</f>
        <v>3</v>
      </c>
      <c r="L14" s="250" t="s">
        <v>155</v>
      </c>
      <c r="M14" s="251">
        <f>'Quantity Impacts'!M15</f>
        <v>1</v>
      </c>
      <c r="N14" s="250" t="s">
        <v>156</v>
      </c>
      <c r="O14" s="251">
        <f>'Quantity Impacts'!M25</f>
        <v>1</v>
      </c>
      <c r="P14" s="250" t="s">
        <v>156</v>
      </c>
      <c r="Q14" s="251">
        <f>'Quantity Impacts'!M35</f>
        <v>1</v>
      </c>
      <c r="R14" s="89" t="s">
        <v>156</v>
      </c>
      <c r="S14" s="89"/>
      <c r="T14" s="106" t="s">
        <v>271</v>
      </c>
      <c r="U14"/>
      <c r="V14"/>
    </row>
    <row r="15" spans="1:22" s="78" customFormat="1" ht="45" customHeight="1">
      <c r="A15" s="205" t="s">
        <v>132</v>
      </c>
      <c r="B15" s="205"/>
      <c r="C15" s="205"/>
      <c r="D15" s="205"/>
      <c r="E15" s="206" t="s">
        <v>131</v>
      </c>
      <c r="F15" s="87">
        <v>0.05</v>
      </c>
      <c r="G15" s="211">
        <f>'Quantity Impacts'!E5</f>
        <v>4</v>
      </c>
      <c r="H15" s="212" t="s">
        <v>159</v>
      </c>
      <c r="I15" s="251">
        <f>'Quantity Impacts'!E45</f>
        <v>2</v>
      </c>
      <c r="J15" s="249" t="s">
        <v>158</v>
      </c>
      <c r="K15" s="251">
        <f>'Quantity Impacts'!E55</f>
        <v>2</v>
      </c>
      <c r="L15" s="250" t="s">
        <v>160</v>
      </c>
      <c r="M15" s="251">
        <f>'Quantity Impacts'!E15</f>
        <v>1</v>
      </c>
      <c r="N15" s="250" t="s">
        <v>142</v>
      </c>
      <c r="O15" s="251">
        <f>'Quantity Impacts'!E25</f>
        <v>1</v>
      </c>
      <c r="P15" s="250" t="s">
        <v>158</v>
      </c>
      <c r="Q15" s="251">
        <f>'Quantity Impacts'!E35</f>
        <v>1</v>
      </c>
      <c r="R15" s="89" t="s">
        <v>160</v>
      </c>
      <c r="S15" s="89" t="s">
        <v>158</v>
      </c>
      <c r="T15" s="96" t="s">
        <v>263</v>
      </c>
      <c r="U15"/>
      <c r="V15"/>
    </row>
    <row r="16" spans="1:22" s="78" customFormat="1" ht="45" customHeight="1">
      <c r="A16" s="205" t="s">
        <v>132</v>
      </c>
      <c r="B16" s="205"/>
      <c r="C16" s="205"/>
      <c r="D16" s="205"/>
      <c r="E16" s="206" t="s">
        <v>103</v>
      </c>
      <c r="F16" s="87">
        <v>0.05</v>
      </c>
      <c r="G16" s="211">
        <v>1</v>
      </c>
      <c r="H16" s="212" t="s">
        <v>100</v>
      </c>
      <c r="I16" s="251">
        <v>2</v>
      </c>
      <c r="J16" s="249" t="s">
        <v>161</v>
      </c>
      <c r="K16" s="248">
        <v>2</v>
      </c>
      <c r="L16" s="249" t="s">
        <v>161</v>
      </c>
      <c r="M16" s="248">
        <v>3</v>
      </c>
      <c r="N16" s="249" t="s">
        <v>101</v>
      </c>
      <c r="O16" s="248">
        <v>3</v>
      </c>
      <c r="P16" s="249" t="s">
        <v>162</v>
      </c>
      <c r="Q16" s="248">
        <v>3</v>
      </c>
      <c r="R16" s="89" t="s">
        <v>162</v>
      </c>
      <c r="S16" s="89" t="s">
        <v>101</v>
      </c>
      <c r="T16" s="97" t="s">
        <v>264</v>
      </c>
      <c r="U16"/>
      <c r="V16"/>
    </row>
    <row r="17" spans="1:20" s="78" customFormat="1" ht="45" customHeight="1" thickBot="1">
      <c r="A17" s="207" t="s">
        <v>133</v>
      </c>
      <c r="B17" s="207"/>
      <c r="C17" s="207"/>
      <c r="D17" s="207"/>
      <c r="E17" s="208" t="s">
        <v>119</v>
      </c>
      <c r="F17" s="209">
        <v>0.2</v>
      </c>
      <c r="G17" s="216" t="s">
        <v>281</v>
      </c>
      <c r="H17" s="82"/>
      <c r="I17" s="252" t="s">
        <v>281</v>
      </c>
      <c r="J17" s="253"/>
      <c r="K17" s="252" t="s">
        <v>281</v>
      </c>
      <c r="L17" s="253"/>
      <c r="M17" s="252" t="s">
        <v>281</v>
      </c>
      <c r="N17" s="253"/>
      <c r="O17" s="252" t="s">
        <v>281</v>
      </c>
      <c r="P17" s="253"/>
      <c r="Q17" s="252" t="s">
        <v>281</v>
      </c>
      <c r="R17" s="82"/>
      <c r="S17" s="92"/>
      <c r="T17" s="98"/>
    </row>
    <row r="18" spans="1:20" s="78" customFormat="1" ht="79.900000000000006" customHeight="1" thickBot="1">
      <c r="A18" s="233"/>
      <c r="B18" s="233"/>
      <c r="C18" s="233"/>
      <c r="D18" s="233"/>
      <c r="E18" s="210" t="s">
        <v>22</v>
      </c>
      <c r="F18" s="88">
        <f>F24</f>
        <v>1.0000000000000002</v>
      </c>
      <c r="G18" s="242"/>
      <c r="H18" s="243"/>
      <c r="I18" s="242"/>
      <c r="J18" s="243"/>
      <c r="K18" s="242"/>
      <c r="L18" s="243"/>
      <c r="M18" s="242"/>
      <c r="N18" s="243"/>
      <c r="O18" s="242"/>
      <c r="P18" s="243"/>
      <c r="Q18" s="242"/>
      <c r="R18" s="244"/>
      <c r="S18" s="245"/>
      <c r="T18" s="236"/>
    </row>
    <row r="19" spans="1:20" ht="34.5" customHeight="1">
      <c r="G19"/>
      <c r="H19"/>
      <c r="I19"/>
      <c r="J19"/>
      <c r="K19"/>
      <c r="L19"/>
      <c r="M19"/>
      <c r="N19"/>
      <c r="O19"/>
      <c r="P19"/>
      <c r="Q19"/>
      <c r="R19"/>
      <c r="S19" s="76"/>
    </row>
    <row r="20" spans="1:20" ht="42" customHeight="1">
      <c r="G20" s="345" t="s">
        <v>95</v>
      </c>
      <c r="H20" s="345"/>
      <c r="I20" s="345"/>
      <c r="J20" s="345"/>
      <c r="K20" s="345"/>
      <c r="L20" s="345"/>
      <c r="M20" s="345"/>
      <c r="N20" s="345"/>
      <c r="O20" s="345"/>
      <c r="P20"/>
      <c r="Q20"/>
      <c r="R20"/>
      <c r="S20" s="76"/>
    </row>
    <row r="21" spans="1:20" s="77" customFormat="1" ht="73.900000000000006" customHeight="1">
      <c r="E21"/>
      <c r="F21"/>
      <c r="G21" s="231" t="s">
        <v>89</v>
      </c>
      <c r="H21" s="230"/>
      <c r="I21" s="230"/>
      <c r="J21" s="231"/>
      <c r="K21" s="231" t="s">
        <v>91</v>
      </c>
      <c r="L21" s="230"/>
      <c r="M21" s="230"/>
      <c r="N21" s="232"/>
      <c r="O21" s="231" t="s">
        <v>98</v>
      </c>
      <c r="P21"/>
      <c r="Q21"/>
      <c r="R21"/>
      <c r="S21" s="80"/>
    </row>
    <row r="22" spans="1:20" ht="45" customHeight="1">
      <c r="G22" s="213">
        <v>0</v>
      </c>
      <c r="H22" s="213"/>
      <c r="I22" s="213">
        <v>1</v>
      </c>
      <c r="J22" s="213"/>
      <c r="K22" s="213">
        <v>2</v>
      </c>
      <c r="L22" s="213"/>
      <c r="M22" s="213">
        <v>3</v>
      </c>
      <c r="N22" s="213"/>
      <c r="O22" s="213">
        <v>4</v>
      </c>
      <c r="P22"/>
      <c r="Q22"/>
      <c r="R22"/>
      <c r="S22" s="76"/>
    </row>
    <row r="23" spans="1:20" ht="45" customHeight="1" thickBot="1">
      <c r="G23" s="254"/>
      <c r="H23" s="254"/>
      <c r="I23" s="254"/>
      <c r="J23" s="254"/>
      <c r="K23" s="254"/>
      <c r="L23" s="254"/>
      <c r="M23" s="254"/>
      <c r="N23" s="254"/>
      <c r="O23" s="254"/>
      <c r="P23"/>
      <c r="Q23"/>
      <c r="R23"/>
      <c r="S23" s="76"/>
    </row>
    <row r="24" spans="1:20" s="78" customFormat="1" ht="45" customHeight="1" thickBot="1">
      <c r="A24" s="202"/>
      <c r="B24" s="229"/>
      <c r="C24" s="229"/>
      <c r="D24" s="229"/>
      <c r="E24" s="210" t="s">
        <v>22</v>
      </c>
      <c r="F24" s="88">
        <f>SUM(F5:F17)</f>
        <v>1.0000000000000002</v>
      </c>
      <c r="G24" s="83">
        <f t="shared" ref="G24:Q24" si="0">ROUND($F$5*G5+G6*$F$6+$F$7*G7+G8*$F$8+$F$9*G9+G10*$F$10+$F$15*G15+G16*$F$16+$F$12*G12+$F$14*G14,1)</f>
        <v>1.1000000000000001</v>
      </c>
      <c r="H24" s="83" t="e">
        <f t="shared" si="0"/>
        <v>#VALUE!</v>
      </c>
      <c r="I24" s="83">
        <f t="shared" si="0"/>
        <v>2.2999999999999998</v>
      </c>
      <c r="J24" s="83" t="e">
        <f t="shared" si="0"/>
        <v>#VALUE!</v>
      </c>
      <c r="K24" s="83">
        <f t="shared" si="0"/>
        <v>2.4</v>
      </c>
      <c r="L24" s="83" t="e">
        <f t="shared" si="0"/>
        <v>#VALUE!</v>
      </c>
      <c r="M24" s="83">
        <f t="shared" si="0"/>
        <v>2.1</v>
      </c>
      <c r="N24" s="83" t="e">
        <f t="shared" si="0"/>
        <v>#VALUE!</v>
      </c>
      <c r="O24" s="83">
        <f t="shared" si="0"/>
        <v>2</v>
      </c>
      <c r="P24" s="83" t="e">
        <f t="shared" si="0"/>
        <v>#VALUE!</v>
      </c>
      <c r="Q24" s="83">
        <f t="shared" si="0"/>
        <v>2.2000000000000002</v>
      </c>
      <c r="R24" s="83" t="e">
        <f>ROUND($F$5*R5+R6*$F$6+$F$7*R7+R8*$F$8+$F$9*R9+R10*$F$10+$F$15*R15+R16*$F$16+$F$12*R12+$F$14*R14+$F$17*R17,1)</f>
        <v>#VALUE!</v>
      </c>
      <c r="S24" s="93"/>
      <c r="T24" s="99"/>
    </row>
    <row r="25" spans="1:20" s="78" customFormat="1" ht="45" customHeight="1">
      <c r="A25" s="233"/>
      <c r="B25" s="233"/>
      <c r="C25" s="233"/>
      <c r="D25" s="233"/>
      <c r="E25" s="234"/>
      <c r="F25" s="235"/>
      <c r="G25" s="238">
        <f>G24</f>
        <v>1.1000000000000001</v>
      </c>
      <c r="H25" s="238"/>
      <c r="I25" s="238">
        <f>I24</f>
        <v>2.2999999999999998</v>
      </c>
      <c r="J25" s="238"/>
      <c r="K25" s="238">
        <f>K24</f>
        <v>2.4</v>
      </c>
      <c r="L25" s="238"/>
      <c r="M25" s="238">
        <f>M24</f>
        <v>2.1</v>
      </c>
      <c r="N25" s="238"/>
      <c r="O25" s="238">
        <f>O24</f>
        <v>2</v>
      </c>
      <c r="P25" s="238"/>
      <c r="Q25" s="238">
        <f>Q24</f>
        <v>2.2000000000000002</v>
      </c>
      <c r="R25" s="237"/>
      <c r="S25" s="236"/>
      <c r="T25" s="236"/>
    </row>
    <row r="26" spans="1:20" s="78" customFormat="1" ht="45" customHeight="1">
      <c r="A26" s="233"/>
      <c r="B26" s="233"/>
      <c r="C26" s="233"/>
      <c r="D26" s="233"/>
      <c r="E26" s="234"/>
      <c r="F26" s="240" t="s">
        <v>297</v>
      </c>
      <c r="G26" s="239">
        <f>G25/4</f>
        <v>0.27500000000000002</v>
      </c>
      <c r="H26" s="238"/>
      <c r="I26" s="239">
        <f>I25/4</f>
        <v>0.57499999999999996</v>
      </c>
      <c r="J26" s="238"/>
      <c r="K26" s="239">
        <f>K25/4</f>
        <v>0.6</v>
      </c>
      <c r="L26" s="238"/>
      <c r="M26" s="239">
        <f>M25/4</f>
        <v>0.52500000000000002</v>
      </c>
      <c r="N26" s="238"/>
      <c r="O26" s="239">
        <f>O25/4</f>
        <v>0.5</v>
      </c>
      <c r="P26" s="238"/>
      <c r="Q26" s="239">
        <f>Q25/4</f>
        <v>0.55000000000000004</v>
      </c>
      <c r="R26" s="237"/>
      <c r="S26" s="236"/>
      <c r="T26" s="236"/>
    </row>
    <row r="27" spans="1:20" s="78" customFormat="1" ht="45" customHeight="1">
      <c r="A27" s="233"/>
      <c r="B27" s="233"/>
      <c r="C27" s="233"/>
      <c r="D27" s="233"/>
      <c r="E27" s="234"/>
      <c r="F27" s="241" t="s">
        <v>298</v>
      </c>
      <c r="G27" s="239">
        <f>1-G26</f>
        <v>0.72499999999999998</v>
      </c>
      <c r="H27" s="238"/>
      <c r="I27" s="239">
        <f>1-I26</f>
        <v>0.42500000000000004</v>
      </c>
      <c r="J27" s="238"/>
      <c r="K27" s="239">
        <f>1-K26</f>
        <v>0.4</v>
      </c>
      <c r="L27" s="238"/>
      <c r="M27" s="239">
        <f>1-M26</f>
        <v>0.47499999999999998</v>
      </c>
      <c r="N27" s="238"/>
      <c r="O27" s="239">
        <f>1-O26</f>
        <v>0.5</v>
      </c>
      <c r="P27" s="238"/>
      <c r="Q27" s="239">
        <f>1-Q26</f>
        <v>0.44999999999999996</v>
      </c>
      <c r="R27" s="237"/>
      <c r="S27" s="236"/>
      <c r="T27" s="236"/>
    </row>
    <row r="28" spans="1:20">
      <c r="G28" s="26"/>
      <c r="H28" s="26"/>
      <c r="I28" s="26"/>
      <c r="J28" s="26"/>
      <c r="K28" s="26"/>
      <c r="L28" s="26"/>
      <c r="M28" s="26"/>
      <c r="N28" s="26"/>
      <c r="O28" s="26"/>
      <c r="P28" s="26"/>
      <c r="Q28" s="26"/>
      <c r="R28" s="26"/>
      <c r="S28" s="76"/>
    </row>
    <row r="29" spans="1:20">
      <c r="G29"/>
      <c r="H29"/>
      <c r="I29"/>
      <c r="J29"/>
      <c r="K29"/>
      <c r="L29"/>
      <c r="M29"/>
      <c r="N29"/>
      <c r="O29"/>
      <c r="P29"/>
      <c r="Q29"/>
      <c r="R29"/>
      <c r="S29" s="76"/>
    </row>
    <row r="30" spans="1:20" ht="45" customHeight="1">
      <c r="G30" s="347" t="s">
        <v>99</v>
      </c>
      <c r="H30" s="347"/>
      <c r="I30" s="347"/>
      <c r="J30" s="347"/>
      <c r="K30" s="347"/>
      <c r="L30" s="347"/>
      <c r="M30" s="347"/>
      <c r="N30" s="347"/>
      <c r="O30" s="347"/>
      <c r="P30" s="347"/>
      <c r="Q30" s="347"/>
      <c r="R30" s="347"/>
      <c r="S30" s="76"/>
    </row>
    <row r="31" spans="1:20" ht="12" customHeight="1">
      <c r="G31"/>
      <c r="H31"/>
      <c r="I31"/>
      <c r="J31"/>
      <c r="K31"/>
      <c r="L31"/>
      <c r="M31"/>
      <c r="N31"/>
      <c r="O31"/>
      <c r="P31"/>
      <c r="Q31"/>
      <c r="R31"/>
      <c r="S31" s="76"/>
    </row>
    <row r="32" spans="1:20" ht="12" customHeight="1">
      <c r="G32"/>
      <c r="H32"/>
      <c r="I32"/>
      <c r="J32"/>
      <c r="K32"/>
      <c r="L32"/>
      <c r="M32"/>
      <c r="N32"/>
      <c r="O32"/>
      <c r="P32"/>
      <c r="Q32"/>
      <c r="R32"/>
      <c r="S32" s="76"/>
    </row>
    <row r="33" spans="7:19" ht="12" customHeight="1">
      <c r="G33"/>
      <c r="H33"/>
      <c r="I33"/>
      <c r="J33"/>
      <c r="K33"/>
      <c r="L33"/>
      <c r="M33"/>
      <c r="N33"/>
      <c r="O33"/>
      <c r="P33"/>
      <c r="Q33"/>
      <c r="R33"/>
      <c r="S33" s="76"/>
    </row>
    <row r="34" spans="7:19" ht="12" customHeight="1">
      <c r="G34"/>
      <c r="H34"/>
      <c r="I34"/>
      <c r="J34"/>
      <c r="K34"/>
      <c r="L34"/>
      <c r="M34"/>
      <c r="N34"/>
      <c r="O34"/>
      <c r="P34"/>
      <c r="Q34"/>
      <c r="R34"/>
      <c r="S34" s="76"/>
    </row>
    <row r="35" spans="7:19" ht="12" customHeight="1">
      <c r="G35"/>
      <c r="H35"/>
      <c r="I35"/>
      <c r="J35"/>
      <c r="K35"/>
      <c r="L35"/>
      <c r="M35"/>
      <c r="N35"/>
      <c r="O35"/>
      <c r="P35"/>
      <c r="Q35"/>
      <c r="R35"/>
      <c r="S35" s="76"/>
    </row>
    <row r="36" spans="7:19" ht="12" customHeight="1">
      <c r="G36"/>
      <c r="H36"/>
      <c r="I36"/>
      <c r="J36"/>
      <c r="K36"/>
      <c r="L36"/>
      <c r="M36"/>
      <c r="N36"/>
      <c r="O36"/>
      <c r="P36"/>
      <c r="Q36"/>
      <c r="R36"/>
      <c r="S36" s="76"/>
    </row>
    <row r="37" spans="7:19" ht="12" customHeight="1">
      <c r="G37"/>
      <c r="H37"/>
      <c r="I37"/>
      <c r="J37"/>
      <c r="K37"/>
      <c r="L37"/>
      <c r="M37"/>
      <c r="N37"/>
      <c r="O37"/>
      <c r="P37"/>
      <c r="Q37"/>
      <c r="R37"/>
      <c r="S37" s="76"/>
    </row>
    <row r="38" spans="7:19" ht="12" customHeight="1">
      <c r="G38"/>
      <c r="H38"/>
      <c r="I38"/>
      <c r="J38"/>
      <c r="K38"/>
      <c r="L38"/>
      <c r="M38"/>
      <c r="N38"/>
      <c r="O38"/>
      <c r="P38"/>
      <c r="Q38"/>
      <c r="R38"/>
      <c r="S38" s="76"/>
    </row>
    <row r="39" spans="7:19" ht="12" customHeight="1">
      <c r="G39"/>
      <c r="H39"/>
      <c r="I39"/>
      <c r="J39"/>
      <c r="K39"/>
      <c r="L39"/>
      <c r="M39"/>
      <c r="N39"/>
      <c r="O39"/>
      <c r="P39"/>
      <c r="Q39"/>
      <c r="R39"/>
      <c r="S39" s="76"/>
    </row>
    <row r="40" spans="7:19" ht="12" customHeight="1">
      <c r="G40"/>
      <c r="H40"/>
      <c r="I40"/>
      <c r="J40"/>
      <c r="K40"/>
      <c r="L40"/>
      <c r="M40"/>
      <c r="N40"/>
      <c r="O40"/>
      <c r="P40"/>
      <c r="Q40"/>
      <c r="R40"/>
      <c r="S40" s="76"/>
    </row>
    <row r="41" spans="7:19" ht="70.150000000000006" customHeight="1">
      <c r="G41"/>
      <c r="H41"/>
      <c r="I41" s="84"/>
      <c r="J41" s="84"/>
      <c r="K41" s="84"/>
      <c r="L41" s="84"/>
      <c r="M41" s="84"/>
      <c r="N41" s="85"/>
      <c r="O41"/>
      <c r="P41"/>
      <c r="Q41"/>
      <c r="R41"/>
      <c r="S41" s="76"/>
    </row>
    <row r="42" spans="7:19" ht="12" customHeight="1">
      <c r="G42"/>
      <c r="H42"/>
      <c r="I42"/>
      <c r="J42"/>
      <c r="K42"/>
      <c r="L42"/>
      <c r="M42"/>
      <c r="N42"/>
      <c r="O42"/>
      <c r="P42"/>
      <c r="Q42"/>
      <c r="R42"/>
      <c r="S42" s="76"/>
    </row>
    <row r="43" spans="7:19" ht="12" customHeight="1">
      <c r="G43"/>
      <c r="H43"/>
      <c r="I43"/>
      <c r="J43"/>
      <c r="K43"/>
      <c r="L43"/>
      <c r="M43"/>
      <c r="N43"/>
      <c r="O43"/>
      <c r="P43"/>
      <c r="Q43"/>
      <c r="R43"/>
      <c r="S43" s="76"/>
    </row>
    <row r="44" spans="7:19" ht="12" customHeight="1">
      <c r="G44"/>
      <c r="H44"/>
      <c r="I44"/>
      <c r="J44"/>
      <c r="K44"/>
      <c r="L44"/>
      <c r="M44"/>
      <c r="N44"/>
      <c r="O44"/>
      <c r="P44"/>
      <c r="Q44"/>
      <c r="R44"/>
      <c r="S44" s="76"/>
    </row>
    <row r="45" spans="7:19" ht="12" customHeight="1">
      <c r="G45"/>
      <c r="H45"/>
      <c r="I45"/>
      <c r="J45"/>
      <c r="K45"/>
      <c r="L45"/>
      <c r="M45"/>
      <c r="N45"/>
      <c r="O45"/>
      <c r="P45"/>
      <c r="Q45"/>
      <c r="R45"/>
      <c r="S45" s="76"/>
    </row>
    <row r="46" spans="7:19" ht="12" customHeight="1">
      <c r="G46"/>
      <c r="H46"/>
      <c r="I46"/>
      <c r="J46"/>
      <c r="K46"/>
      <c r="L46"/>
      <c r="M46"/>
      <c r="N46"/>
      <c r="O46"/>
      <c r="P46"/>
      <c r="Q46"/>
      <c r="R46"/>
      <c r="S46" s="76"/>
    </row>
    <row r="47" spans="7:19" ht="12" customHeight="1">
      <c r="G47"/>
      <c r="H47"/>
      <c r="I47"/>
      <c r="J47"/>
      <c r="K47"/>
      <c r="L47"/>
      <c r="M47"/>
      <c r="N47"/>
      <c r="O47"/>
      <c r="P47"/>
      <c r="Q47"/>
      <c r="R47"/>
      <c r="S47" s="76"/>
    </row>
    <row r="48" spans="7:19" ht="12" customHeight="1">
      <c r="G48"/>
      <c r="H48"/>
      <c r="I48"/>
      <c r="J48"/>
      <c r="K48"/>
      <c r="L48"/>
      <c r="M48"/>
      <c r="N48"/>
      <c r="O48"/>
      <c r="P48"/>
      <c r="Q48"/>
      <c r="R48"/>
      <c r="S48" s="76"/>
    </row>
    <row r="49" spans="7:19" ht="12" customHeight="1">
      <c r="G49"/>
      <c r="H49"/>
      <c r="I49"/>
      <c r="J49"/>
      <c r="K49"/>
      <c r="L49"/>
      <c r="M49"/>
      <c r="N49"/>
      <c r="O49"/>
      <c r="P49"/>
      <c r="Q49"/>
      <c r="R49"/>
      <c r="S49" s="76"/>
    </row>
    <row r="50" spans="7:19" ht="12" customHeight="1">
      <c r="G50"/>
      <c r="H50"/>
      <c r="I50"/>
      <c r="J50"/>
      <c r="K50"/>
      <c r="L50"/>
      <c r="M50"/>
      <c r="N50"/>
      <c r="O50"/>
      <c r="P50"/>
      <c r="Q50"/>
      <c r="R50"/>
      <c r="S50" s="76"/>
    </row>
    <row r="51" spans="7:19" ht="12" customHeight="1">
      <c r="G51"/>
      <c r="H51"/>
      <c r="I51"/>
      <c r="J51"/>
      <c r="K51"/>
      <c r="L51"/>
      <c r="M51"/>
      <c r="N51"/>
      <c r="O51"/>
      <c r="P51"/>
      <c r="Q51"/>
      <c r="R51"/>
      <c r="S51" s="76"/>
    </row>
    <row r="52" spans="7:19" ht="12" customHeight="1">
      <c r="G52"/>
      <c r="H52"/>
      <c r="I52"/>
      <c r="J52"/>
      <c r="K52"/>
      <c r="L52"/>
      <c r="M52"/>
      <c r="N52"/>
      <c r="O52"/>
      <c r="P52"/>
      <c r="Q52"/>
      <c r="R52"/>
      <c r="S52" s="76"/>
    </row>
    <row r="53" spans="7:19" ht="12" customHeight="1">
      <c r="G53"/>
      <c r="H53"/>
      <c r="I53"/>
      <c r="J53"/>
      <c r="K53"/>
      <c r="L53"/>
      <c r="M53"/>
      <c r="N53"/>
      <c r="O53"/>
      <c r="P53"/>
      <c r="Q53"/>
      <c r="R53"/>
      <c r="S53" s="76"/>
    </row>
    <row r="54" spans="7:19" ht="12" customHeight="1">
      <c r="G54"/>
      <c r="H54"/>
      <c r="I54"/>
      <c r="J54"/>
      <c r="K54"/>
      <c r="L54"/>
      <c r="M54"/>
      <c r="N54"/>
      <c r="O54"/>
      <c r="P54"/>
      <c r="Q54"/>
      <c r="R54"/>
      <c r="S54" s="76"/>
    </row>
    <row r="55" spans="7:19" ht="12" customHeight="1">
      <c r="G55"/>
      <c r="H55"/>
      <c r="I55"/>
      <c r="J55"/>
      <c r="K55"/>
      <c r="L55"/>
      <c r="M55"/>
      <c r="N55"/>
      <c r="O55"/>
      <c r="P55"/>
      <c r="Q55"/>
      <c r="R55"/>
      <c r="S55" s="76"/>
    </row>
    <row r="56" spans="7:19" ht="12" customHeight="1">
      <c r="G56"/>
      <c r="H56"/>
      <c r="I56"/>
      <c r="J56"/>
      <c r="K56"/>
      <c r="L56"/>
      <c r="M56"/>
      <c r="N56"/>
      <c r="O56"/>
      <c r="P56"/>
      <c r="Q56"/>
      <c r="R56"/>
      <c r="S56" s="76"/>
    </row>
    <row r="57" spans="7:19" ht="12" customHeight="1">
      <c r="G57"/>
      <c r="H57"/>
      <c r="I57"/>
      <c r="J57"/>
      <c r="K57"/>
      <c r="L57"/>
      <c r="M57"/>
      <c r="N57"/>
      <c r="O57"/>
      <c r="P57"/>
      <c r="Q57"/>
      <c r="R57"/>
      <c r="S57" s="76"/>
    </row>
    <row r="58" spans="7:19" ht="12" customHeight="1">
      <c r="G58"/>
      <c r="H58"/>
      <c r="I58"/>
      <c r="J58"/>
      <c r="K58"/>
      <c r="L58"/>
      <c r="M58"/>
      <c r="N58"/>
      <c r="O58"/>
      <c r="P58"/>
      <c r="Q58"/>
      <c r="R58"/>
      <c r="S58" s="76"/>
    </row>
    <row r="59" spans="7:19" ht="12" customHeight="1">
      <c r="G59"/>
      <c r="H59"/>
      <c r="I59"/>
      <c r="J59"/>
      <c r="K59"/>
      <c r="L59"/>
      <c r="M59"/>
      <c r="N59"/>
      <c r="O59"/>
      <c r="P59"/>
      <c r="Q59"/>
      <c r="R59"/>
      <c r="S59" s="76"/>
    </row>
    <row r="60" spans="7:19" ht="12" customHeight="1">
      <c r="G60"/>
      <c r="H60"/>
      <c r="I60"/>
      <c r="J60"/>
      <c r="K60"/>
      <c r="L60"/>
      <c r="M60"/>
      <c r="N60"/>
      <c r="O60"/>
      <c r="P60"/>
      <c r="Q60"/>
      <c r="R60"/>
      <c r="S60" s="76"/>
    </row>
    <row r="61" spans="7:19" ht="12" customHeight="1">
      <c r="G61"/>
      <c r="H61"/>
      <c r="I61"/>
      <c r="J61"/>
      <c r="K61"/>
      <c r="L61"/>
      <c r="M61"/>
      <c r="N61"/>
      <c r="O61"/>
      <c r="P61"/>
      <c r="Q61"/>
      <c r="R61"/>
      <c r="S61" s="76"/>
    </row>
    <row r="62" spans="7:19" ht="12" customHeight="1">
      <c r="G62"/>
      <c r="H62"/>
      <c r="I62"/>
      <c r="J62"/>
      <c r="K62"/>
      <c r="L62"/>
      <c r="M62"/>
      <c r="N62"/>
      <c r="O62"/>
      <c r="P62"/>
      <c r="Q62"/>
      <c r="R62"/>
      <c r="S62" s="76"/>
    </row>
    <row r="63" spans="7:19" ht="12" customHeight="1">
      <c r="G63"/>
      <c r="H63"/>
      <c r="I63"/>
      <c r="J63"/>
      <c r="K63"/>
      <c r="L63"/>
      <c r="M63"/>
      <c r="N63"/>
      <c r="O63"/>
      <c r="P63"/>
      <c r="Q63"/>
      <c r="R63"/>
      <c r="S63" s="76"/>
    </row>
    <row r="64" spans="7:19" ht="12" customHeight="1">
      <c r="G64"/>
      <c r="H64"/>
      <c r="I64"/>
      <c r="J64"/>
      <c r="K64"/>
      <c r="L64"/>
      <c r="M64"/>
      <c r="N64"/>
      <c r="O64"/>
      <c r="P64"/>
      <c r="Q64"/>
      <c r="R64"/>
      <c r="S64" s="76"/>
    </row>
    <row r="65" spans="7:19" ht="12" customHeight="1">
      <c r="G65"/>
      <c r="H65"/>
      <c r="I65"/>
      <c r="J65"/>
      <c r="K65"/>
      <c r="L65"/>
      <c r="M65"/>
      <c r="N65"/>
      <c r="O65"/>
      <c r="P65"/>
      <c r="Q65"/>
      <c r="R65"/>
      <c r="S65" s="76"/>
    </row>
    <row r="66" spans="7:19" ht="12" customHeight="1">
      <c r="G66"/>
      <c r="H66"/>
      <c r="I66"/>
      <c r="J66"/>
      <c r="K66"/>
      <c r="L66"/>
      <c r="M66"/>
      <c r="N66"/>
      <c r="O66"/>
      <c r="P66"/>
      <c r="Q66"/>
      <c r="R66"/>
      <c r="S66" s="76"/>
    </row>
    <row r="67" spans="7:19">
      <c r="G67"/>
      <c r="H67"/>
      <c r="I67"/>
      <c r="J67"/>
      <c r="K67"/>
      <c r="L67"/>
      <c r="M67"/>
      <c r="N67"/>
      <c r="O67"/>
      <c r="P67"/>
      <c r="Q67"/>
      <c r="R67"/>
      <c r="S67" s="76"/>
    </row>
    <row r="68" spans="7:19">
      <c r="G68"/>
      <c r="H68"/>
      <c r="I68"/>
      <c r="J68"/>
      <c r="K68"/>
      <c r="L68"/>
      <c r="M68"/>
      <c r="N68"/>
      <c r="O68"/>
      <c r="P68"/>
      <c r="Q68"/>
      <c r="R68"/>
      <c r="S68" s="76"/>
    </row>
    <row r="69" spans="7:19" ht="45" customHeight="1">
      <c r="G69"/>
      <c r="H69"/>
      <c r="I69"/>
      <c r="J69"/>
      <c r="K69"/>
      <c r="L69"/>
      <c r="M69"/>
      <c r="N69"/>
      <c r="O69"/>
      <c r="P69"/>
      <c r="Q69"/>
      <c r="R69"/>
      <c r="S69" s="81"/>
    </row>
  </sheetData>
  <mergeCells count="3">
    <mergeCell ref="G20:O20"/>
    <mergeCell ref="E1:R1"/>
    <mergeCell ref="G30:R30"/>
  </mergeCells>
  <pageMargins left="0.7" right="0.7" top="0.75" bottom="0.75" header="0.3" footer="0.3"/>
  <pageSetup paperSize="3" scale="2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169E5-8C6E-41DF-952A-6B15A650FE53}">
  <sheetPr>
    <tabColor theme="4"/>
  </sheetPr>
  <dimension ref="B1:W56"/>
  <sheetViews>
    <sheetView topLeftCell="A16" zoomScale="85" zoomScaleNormal="85" workbookViewId="0">
      <selection activeCell="M11" sqref="M11"/>
    </sheetView>
  </sheetViews>
  <sheetFormatPr defaultRowHeight="15"/>
  <cols>
    <col min="1" max="1" width="9.28515625" customWidth="1"/>
    <col min="2" max="2" width="10.42578125" bestFit="1" customWidth="1"/>
    <col min="4" max="4" width="8.42578125" bestFit="1" customWidth="1"/>
    <col min="5" max="5" width="9.7109375" bestFit="1" customWidth="1"/>
    <col min="16" max="16" width="18.140625" bestFit="1" customWidth="1"/>
    <col min="20" max="20" width="18" bestFit="1" customWidth="1"/>
    <col min="21" max="21" width="17.28515625" customWidth="1"/>
  </cols>
  <sheetData>
    <row r="1" spans="2:23" ht="15.75" thickBot="1"/>
    <row r="2" spans="2:23">
      <c r="B2" s="303" t="s">
        <v>90</v>
      </c>
      <c r="C2" s="304"/>
      <c r="D2" s="304"/>
      <c r="E2" s="304"/>
      <c r="F2" s="304"/>
      <c r="G2" s="304"/>
      <c r="H2" s="304"/>
      <c r="I2" s="304"/>
      <c r="J2" s="304"/>
      <c r="K2" s="304"/>
      <c r="L2" s="304"/>
      <c r="M2" s="304"/>
      <c r="N2" s="304"/>
      <c r="O2" s="304"/>
      <c r="P2" s="304"/>
      <c r="Q2" s="304"/>
      <c r="R2" s="337"/>
    </row>
    <row r="3" spans="2:23">
      <c r="B3" s="11"/>
      <c r="C3" s="305" t="s">
        <v>242</v>
      </c>
      <c r="D3" s="305"/>
      <c r="E3" s="305"/>
      <c r="F3" s="305"/>
      <c r="G3" s="305" t="s">
        <v>245</v>
      </c>
      <c r="H3" s="305"/>
      <c r="I3" s="305"/>
      <c r="J3" s="305" t="s">
        <v>246</v>
      </c>
      <c r="K3" s="305"/>
      <c r="L3" s="305"/>
      <c r="M3" s="305" t="s">
        <v>244</v>
      </c>
      <c r="N3" s="305"/>
      <c r="O3" s="305"/>
      <c r="P3" s="305" t="s">
        <v>9</v>
      </c>
      <c r="Q3" s="305"/>
      <c r="R3" s="306"/>
    </row>
    <row r="4" spans="2:23" ht="15.75" thickBot="1">
      <c r="B4" s="308" t="s">
        <v>255</v>
      </c>
      <c r="C4" s="309"/>
      <c r="D4" s="309"/>
      <c r="E4" s="194">
        <v>0</v>
      </c>
      <c r="F4" s="194"/>
      <c r="G4" s="194">
        <v>0</v>
      </c>
      <c r="H4" s="194"/>
      <c r="I4" s="194"/>
      <c r="J4" s="194">
        <v>0</v>
      </c>
      <c r="K4" s="194"/>
      <c r="L4" s="194"/>
      <c r="M4" s="194">
        <v>0</v>
      </c>
      <c r="N4" s="194"/>
      <c r="O4" s="194"/>
      <c r="P4" s="194">
        <v>0</v>
      </c>
      <c r="Q4" s="194"/>
      <c r="R4" s="195"/>
    </row>
    <row r="5" spans="2:23" ht="15.75" thickBot="1">
      <c r="B5" s="310" t="s">
        <v>256</v>
      </c>
      <c r="C5" s="310"/>
      <c r="D5" s="310"/>
      <c r="E5" s="223">
        <v>4</v>
      </c>
      <c r="F5" s="223"/>
      <c r="G5" s="223">
        <v>4</v>
      </c>
      <c r="H5" s="223"/>
      <c r="I5" s="223"/>
      <c r="J5" s="223">
        <v>4</v>
      </c>
      <c r="K5" s="223"/>
      <c r="L5" s="223"/>
      <c r="M5" s="223">
        <v>4</v>
      </c>
      <c r="N5" s="223"/>
      <c r="O5" s="223"/>
      <c r="P5" s="223">
        <v>4</v>
      </c>
      <c r="Q5" s="223"/>
      <c r="R5" s="223"/>
    </row>
    <row r="6" spans="2:23" ht="16.5" thickTop="1" thickBot="1"/>
    <row r="7" spans="2:23">
      <c r="B7" s="348" t="s">
        <v>294</v>
      </c>
      <c r="C7" s="349"/>
      <c r="D7" s="349"/>
      <c r="E7" s="349"/>
      <c r="F7" s="349"/>
      <c r="G7" s="349"/>
      <c r="H7" s="349"/>
      <c r="I7" s="349"/>
      <c r="J7" s="349"/>
      <c r="K7" s="349"/>
      <c r="L7" s="349"/>
      <c r="M7" s="349"/>
      <c r="N7" s="349"/>
      <c r="O7" s="349"/>
      <c r="P7" s="349"/>
      <c r="Q7" s="349"/>
      <c r="R7" s="350"/>
      <c r="T7" s="307" t="s">
        <v>258</v>
      </c>
      <c r="U7" s="307"/>
      <c r="V7" s="307"/>
    </row>
    <row r="8" spans="2:23">
      <c r="B8" s="11"/>
      <c r="C8" s="305" t="s">
        <v>242</v>
      </c>
      <c r="D8" s="305"/>
      <c r="E8" s="305"/>
      <c r="F8" s="305"/>
      <c r="G8" s="305" t="s">
        <v>245</v>
      </c>
      <c r="H8" s="305"/>
      <c r="I8" s="305"/>
      <c r="J8" s="305" t="s">
        <v>246</v>
      </c>
      <c r="K8" s="305"/>
      <c r="L8" s="305"/>
      <c r="M8" s="305" t="s">
        <v>244</v>
      </c>
      <c r="N8" s="305"/>
      <c r="O8" s="305"/>
      <c r="P8" s="305" t="s">
        <v>9</v>
      </c>
      <c r="Q8" s="305"/>
      <c r="R8" s="306"/>
      <c r="T8">
        <f>MIN(E14,E24,E34,E44,E54,E4)</f>
        <v>0</v>
      </c>
      <c r="U8">
        <f>U11*0.15</f>
        <v>116.55</v>
      </c>
      <c r="V8">
        <v>4</v>
      </c>
      <c r="W8" t="s">
        <v>260</v>
      </c>
    </row>
    <row r="9" spans="2:23">
      <c r="B9" s="11"/>
      <c r="C9" s="26" t="s">
        <v>248</v>
      </c>
      <c r="D9" s="26" t="s">
        <v>253</v>
      </c>
      <c r="E9" s="26" t="s">
        <v>254</v>
      </c>
      <c r="F9" s="26"/>
      <c r="G9" s="305" t="s">
        <v>252</v>
      </c>
      <c r="H9" s="305"/>
      <c r="I9" s="305"/>
      <c r="J9" s="305" t="s">
        <v>252</v>
      </c>
      <c r="K9" s="305"/>
      <c r="L9" s="305"/>
      <c r="M9" s="305" t="s">
        <v>248</v>
      </c>
      <c r="N9" s="305"/>
      <c r="O9" s="305"/>
      <c r="P9" s="305" t="s">
        <v>288</v>
      </c>
      <c r="Q9" s="305"/>
      <c r="R9" s="306"/>
      <c r="T9">
        <f>U8</f>
        <v>116.55</v>
      </c>
      <c r="U9">
        <f>AVERAGE(U11,T8)</f>
        <v>388.5</v>
      </c>
      <c r="V9">
        <v>3</v>
      </c>
    </row>
    <row r="10" spans="2:23">
      <c r="B10" s="11" t="s">
        <v>247</v>
      </c>
      <c r="C10" s="26">
        <v>33</v>
      </c>
      <c r="D10" s="26">
        <v>2</v>
      </c>
      <c r="E10" s="26">
        <f>C10*D10</f>
        <v>66</v>
      </c>
      <c r="F10" s="26"/>
      <c r="G10" s="26">
        <v>50</v>
      </c>
      <c r="H10" s="26"/>
      <c r="I10" s="26"/>
      <c r="J10" s="26">
        <v>33</v>
      </c>
      <c r="K10" s="26"/>
      <c r="L10" s="26"/>
      <c r="M10" s="26">
        <v>366</v>
      </c>
      <c r="N10" s="26"/>
      <c r="O10" s="26"/>
      <c r="P10" s="224">
        <v>1340602873</v>
      </c>
      <c r="Q10" s="26"/>
      <c r="R10" s="189"/>
      <c r="T10">
        <f>AVERAGE(U11,T8)</f>
        <v>388.5</v>
      </c>
      <c r="U10">
        <f>T11</f>
        <v>660.44999999999993</v>
      </c>
      <c r="V10">
        <v>2</v>
      </c>
    </row>
    <row r="11" spans="2:23">
      <c r="B11" s="11" t="s">
        <v>249</v>
      </c>
      <c r="C11" s="26">
        <v>81</v>
      </c>
      <c r="D11" s="26">
        <v>5</v>
      </c>
      <c r="E11" s="26">
        <f t="shared" ref="E11:E13" si="0">C11*D11</f>
        <v>405</v>
      </c>
      <c r="F11" s="26"/>
      <c r="G11" s="26"/>
      <c r="H11" s="26"/>
      <c r="I11" s="26"/>
      <c r="J11" s="26"/>
      <c r="K11" s="26"/>
      <c r="L11" s="26"/>
      <c r="M11" s="26"/>
      <c r="N11" s="26"/>
      <c r="O11" s="26"/>
      <c r="P11" s="26"/>
      <c r="Q11" s="26"/>
      <c r="R11" s="189"/>
      <c r="T11">
        <f>U11*0.85</f>
        <v>660.44999999999993</v>
      </c>
      <c r="U11">
        <f>MAX(E14,E24,E34,E44,E54)</f>
        <v>777</v>
      </c>
      <c r="V11">
        <v>1</v>
      </c>
      <c r="W11" t="s">
        <v>261</v>
      </c>
    </row>
    <row r="12" spans="2:23">
      <c r="B12" s="11" t="s">
        <v>250</v>
      </c>
      <c r="C12" s="26">
        <v>283</v>
      </c>
      <c r="D12" s="26">
        <v>0.5</v>
      </c>
      <c r="E12" s="26">
        <f t="shared" si="0"/>
        <v>141.5</v>
      </c>
      <c r="F12" s="26"/>
      <c r="G12" s="26"/>
      <c r="H12" s="26"/>
      <c r="I12" s="26"/>
      <c r="J12" s="26"/>
      <c r="K12" s="26"/>
      <c r="L12" s="26"/>
      <c r="M12" s="26"/>
      <c r="N12" s="26"/>
      <c r="O12" s="26"/>
      <c r="P12" s="26"/>
      <c r="Q12" s="26"/>
      <c r="R12" s="189"/>
    </row>
    <row r="13" spans="2:23">
      <c r="B13" s="11" t="s">
        <v>251</v>
      </c>
      <c r="C13" s="26">
        <v>83</v>
      </c>
      <c r="D13" s="26">
        <v>1</v>
      </c>
      <c r="E13" s="26">
        <f t="shared" si="0"/>
        <v>83</v>
      </c>
      <c r="F13" s="26"/>
      <c r="G13" s="26"/>
      <c r="H13" s="26"/>
      <c r="I13" s="26"/>
      <c r="J13" s="26"/>
      <c r="K13" s="26"/>
      <c r="L13" s="26"/>
      <c r="M13" s="26"/>
      <c r="N13" s="26"/>
      <c r="O13" s="26"/>
      <c r="P13" s="26"/>
      <c r="Q13" s="26"/>
      <c r="R13" s="189"/>
      <c r="T13" s="307" t="s">
        <v>257</v>
      </c>
      <c r="U13" s="307"/>
      <c r="V13" s="307"/>
    </row>
    <row r="14" spans="2:23" ht="15.75" thickBot="1">
      <c r="B14" s="308" t="s">
        <v>255</v>
      </c>
      <c r="C14" s="309"/>
      <c r="D14" s="309"/>
      <c r="E14" s="190">
        <f>SUM(E10:E13)</f>
        <v>695.5</v>
      </c>
      <c r="F14" s="190"/>
      <c r="G14" s="190"/>
      <c r="H14" s="190"/>
      <c r="I14" s="190"/>
      <c r="J14" s="190"/>
      <c r="K14" s="190"/>
      <c r="L14" s="190"/>
      <c r="M14" s="190"/>
      <c r="N14" s="190"/>
      <c r="O14" s="190"/>
      <c r="P14" s="190"/>
      <c r="Q14" s="190"/>
      <c r="R14" s="191"/>
      <c r="T14">
        <f>MIN(G10,G20,G30,G40,G50,G4)</f>
        <v>0</v>
      </c>
      <c r="U14">
        <f>U17*0.15</f>
        <v>13.049999999999999</v>
      </c>
      <c r="V14">
        <v>4</v>
      </c>
      <c r="W14" t="s">
        <v>260</v>
      </c>
    </row>
    <row r="15" spans="2:23" ht="15.75" thickBot="1">
      <c r="B15" s="310" t="s">
        <v>256</v>
      </c>
      <c r="C15" s="310"/>
      <c r="D15" s="310"/>
      <c r="E15" s="223">
        <f>IF(E14&lt;$U$8,$V$8,IF(E14&lt;$U$9,$V$9,IF(E14&lt;$U$10,$V$10,$V$11)))</f>
        <v>1</v>
      </c>
      <c r="F15" s="223"/>
      <c r="G15" s="223">
        <f>IF(G10&lt;$U$14,$V$14,IF(G10&lt;$U$15,$V$15,IF(G10&lt;$U$16,$V$16,$V$17)))</f>
        <v>2</v>
      </c>
      <c r="H15" s="223"/>
      <c r="I15" s="223"/>
      <c r="J15" s="223">
        <f>IF(J10&lt;$U$20,$V$20,IF(J10&lt;$U$21,$V$21,IF(J10&lt;$U$22,$V$22,$V$23)))</f>
        <v>3</v>
      </c>
      <c r="K15" s="223"/>
      <c r="L15" s="223"/>
      <c r="M15" s="223">
        <f>IF(M10&lt;$U$26,$V$26,IF(M10&lt;$U$27,$V$27,IF(M10&lt;$U$28,$V$28,$V$29)))</f>
        <v>1</v>
      </c>
      <c r="N15" s="223"/>
      <c r="O15" s="223"/>
      <c r="P15" s="193">
        <f>IF(P10&lt;$U$33,$V$33,IF(P10&lt;$U$34,$V$34,IF(P10&lt;$U$35,$V$35,$V$36)))</f>
        <v>1</v>
      </c>
      <c r="Q15" s="193"/>
      <c r="R15" s="193"/>
      <c r="T15">
        <f>U14</f>
        <v>13.049999999999999</v>
      </c>
      <c r="U15">
        <f>AVERAGE(U17,T14)</f>
        <v>43.5</v>
      </c>
      <c r="V15">
        <v>3</v>
      </c>
    </row>
    <row r="16" spans="2:23" ht="16.5" thickTop="1" thickBot="1">
      <c r="P16" s="26"/>
      <c r="Q16" s="26"/>
      <c r="R16" s="26"/>
      <c r="T16">
        <f>AVERAGE(U17,T14)</f>
        <v>43.5</v>
      </c>
      <c r="U16">
        <f>T17</f>
        <v>73.95</v>
      </c>
      <c r="V16">
        <v>2</v>
      </c>
    </row>
    <row r="17" spans="2:23">
      <c r="B17" s="351" t="s">
        <v>295</v>
      </c>
      <c r="C17" s="352"/>
      <c r="D17" s="352"/>
      <c r="E17" s="352"/>
      <c r="F17" s="352"/>
      <c r="G17" s="352"/>
      <c r="H17" s="352"/>
      <c r="I17" s="352"/>
      <c r="J17" s="352"/>
      <c r="K17" s="352"/>
      <c r="L17" s="352"/>
      <c r="M17" s="352"/>
      <c r="N17" s="352"/>
      <c r="O17" s="352"/>
      <c r="P17" s="352"/>
      <c r="Q17" s="352"/>
      <c r="R17" s="353"/>
      <c r="T17">
        <f>U17*0.85</f>
        <v>73.95</v>
      </c>
      <c r="U17">
        <f>MAX(G10,G20,G30,G40,G50,G4)</f>
        <v>87</v>
      </c>
      <c r="V17">
        <v>1</v>
      </c>
      <c r="W17" t="s">
        <v>261</v>
      </c>
    </row>
    <row r="18" spans="2:23">
      <c r="B18" s="11"/>
      <c r="C18" s="305" t="s">
        <v>242</v>
      </c>
      <c r="D18" s="305"/>
      <c r="E18" s="305"/>
      <c r="F18" s="305"/>
      <c r="G18" s="305" t="s">
        <v>245</v>
      </c>
      <c r="H18" s="305"/>
      <c r="I18" s="305"/>
      <c r="J18" s="305" t="s">
        <v>246</v>
      </c>
      <c r="K18" s="305"/>
      <c r="L18" s="305"/>
      <c r="M18" s="305" t="s">
        <v>244</v>
      </c>
      <c r="N18" s="305"/>
      <c r="O18" s="305"/>
      <c r="P18" s="305" t="s">
        <v>9</v>
      </c>
      <c r="Q18" s="305"/>
      <c r="R18" s="306"/>
    </row>
    <row r="19" spans="2:23">
      <c r="B19" s="11"/>
      <c r="C19" s="26" t="s">
        <v>248</v>
      </c>
      <c r="D19" s="26" t="s">
        <v>253</v>
      </c>
      <c r="E19" s="26" t="s">
        <v>254</v>
      </c>
      <c r="F19" s="26"/>
      <c r="G19" s="305" t="s">
        <v>252</v>
      </c>
      <c r="H19" s="305"/>
      <c r="I19" s="305"/>
      <c r="J19" s="305" t="s">
        <v>252</v>
      </c>
      <c r="K19" s="305"/>
      <c r="L19" s="305"/>
      <c r="M19" s="305" t="s">
        <v>248</v>
      </c>
      <c r="N19" s="305"/>
      <c r="O19" s="305"/>
      <c r="P19" s="305" t="s">
        <v>288</v>
      </c>
      <c r="Q19" s="305"/>
      <c r="R19" s="306"/>
      <c r="T19" s="307" t="s">
        <v>243</v>
      </c>
      <c r="U19" s="307"/>
      <c r="V19" s="307"/>
    </row>
    <row r="20" spans="2:23">
      <c r="B20" s="11" t="s">
        <v>247</v>
      </c>
      <c r="C20" s="26">
        <v>17</v>
      </c>
      <c r="D20" s="26">
        <v>2</v>
      </c>
      <c r="E20" s="26">
        <f>C20*D20</f>
        <v>34</v>
      </c>
      <c r="F20" s="26"/>
      <c r="G20" s="26">
        <v>47</v>
      </c>
      <c r="H20" s="26"/>
      <c r="I20" s="26"/>
      <c r="J20" s="26">
        <v>40</v>
      </c>
      <c r="K20" s="26"/>
      <c r="L20" s="26"/>
      <c r="M20" s="26">
        <v>361</v>
      </c>
      <c r="N20" s="26"/>
      <c r="O20" s="26"/>
      <c r="P20" s="224">
        <v>1450881670</v>
      </c>
      <c r="Q20" s="26"/>
      <c r="R20" s="189"/>
      <c r="T20">
        <f>MIN(J10,J20,J30,J40,J50,J4)</f>
        <v>0</v>
      </c>
      <c r="U20">
        <f>U23*0.15</f>
        <v>32.549999999999997</v>
      </c>
      <c r="V20">
        <v>4</v>
      </c>
      <c r="W20" t="s">
        <v>260</v>
      </c>
    </row>
    <row r="21" spans="2:23">
      <c r="B21" s="11" t="s">
        <v>249</v>
      </c>
      <c r="C21" s="26">
        <v>82</v>
      </c>
      <c r="D21" s="26">
        <v>5</v>
      </c>
      <c r="E21" s="26">
        <f t="shared" ref="E21:E23" si="1">C21*D21</f>
        <v>410</v>
      </c>
      <c r="F21" s="26"/>
      <c r="G21" s="26"/>
      <c r="H21" s="26"/>
      <c r="I21" s="26"/>
      <c r="J21" s="26"/>
      <c r="K21" s="26"/>
      <c r="L21" s="26"/>
      <c r="M21" s="26"/>
      <c r="N21" s="26"/>
      <c r="O21" s="26"/>
      <c r="P21" s="26"/>
      <c r="Q21" s="26"/>
      <c r="R21" s="189"/>
      <c r="T21">
        <f>U20</f>
        <v>32.549999999999997</v>
      </c>
      <c r="U21">
        <f>AVERAGE(U23,T20)</f>
        <v>108.5</v>
      </c>
      <c r="V21">
        <v>3</v>
      </c>
    </row>
    <row r="22" spans="2:23">
      <c r="B22" s="11" t="s">
        <v>250</v>
      </c>
      <c r="C22" s="26">
        <v>336</v>
      </c>
      <c r="D22" s="26">
        <v>0.5</v>
      </c>
      <c r="E22" s="26">
        <f t="shared" si="1"/>
        <v>168</v>
      </c>
      <c r="F22" s="26"/>
      <c r="G22" s="26"/>
      <c r="H22" s="26"/>
      <c r="I22" s="26"/>
      <c r="J22" s="26"/>
      <c r="K22" s="26"/>
      <c r="L22" s="26"/>
      <c r="M22" s="26"/>
      <c r="N22" s="26"/>
      <c r="O22" s="26"/>
      <c r="P22" s="26"/>
      <c r="Q22" s="26"/>
      <c r="R22" s="189"/>
      <c r="T22">
        <f>AVERAGE(U23,T20)</f>
        <v>108.5</v>
      </c>
      <c r="U22">
        <f>T23</f>
        <v>184.45</v>
      </c>
      <c r="V22">
        <v>2</v>
      </c>
    </row>
    <row r="23" spans="2:23">
      <c r="B23" s="11" t="s">
        <v>251</v>
      </c>
      <c r="C23" s="26">
        <v>165</v>
      </c>
      <c r="D23" s="26">
        <v>1</v>
      </c>
      <c r="E23" s="26">
        <f t="shared" si="1"/>
        <v>165</v>
      </c>
      <c r="F23" s="26"/>
      <c r="G23" s="26"/>
      <c r="H23" s="26"/>
      <c r="I23" s="26"/>
      <c r="J23" s="26"/>
      <c r="K23" s="26"/>
      <c r="L23" s="26"/>
      <c r="M23" s="26"/>
      <c r="N23" s="26"/>
      <c r="O23" s="26"/>
      <c r="P23" s="26"/>
      <c r="Q23" s="26"/>
      <c r="R23" s="189"/>
      <c r="T23">
        <f>U23*0.85</f>
        <v>184.45</v>
      </c>
      <c r="U23">
        <f>MAX(J10,J20,J30,J40,J50,J4)</f>
        <v>217</v>
      </c>
      <c r="V23">
        <v>1</v>
      </c>
      <c r="W23" t="s">
        <v>261</v>
      </c>
    </row>
    <row r="24" spans="2:23" ht="15.75" thickBot="1">
      <c r="B24" s="308" t="s">
        <v>255</v>
      </c>
      <c r="C24" s="309"/>
      <c r="D24" s="309"/>
      <c r="E24" s="190">
        <f>SUM(E20:E23)</f>
        <v>777</v>
      </c>
      <c r="F24" s="190"/>
      <c r="G24" s="190"/>
      <c r="H24" s="190"/>
      <c r="I24" s="190"/>
      <c r="J24" s="190"/>
      <c r="K24" s="190"/>
      <c r="L24" s="190"/>
      <c r="M24" s="190"/>
      <c r="N24" s="190"/>
      <c r="O24" s="190"/>
      <c r="P24" s="190"/>
      <c r="Q24" s="190"/>
      <c r="R24" s="191"/>
    </row>
    <row r="25" spans="2:23" ht="15.75" thickBot="1">
      <c r="B25" s="310" t="s">
        <v>256</v>
      </c>
      <c r="C25" s="310"/>
      <c r="D25" s="310"/>
      <c r="E25" s="223">
        <f>IF(E24&lt;$U$8,$V$8,IF(E24&lt;$U$9,$V$9,IF(E24&lt;$U$10,$V$10,$V$11)))</f>
        <v>1</v>
      </c>
      <c r="F25" s="223"/>
      <c r="G25" s="223">
        <f>IF(G20&lt;$U$14,$V$14,IF(G20&lt;$U$15,$V$15,IF(G20&lt;$U$16,$V$16,$V$17)))</f>
        <v>2</v>
      </c>
      <c r="H25" s="223"/>
      <c r="I25" s="223"/>
      <c r="J25" s="223">
        <f>IF(J20&lt;$U$20,$V$20,IF(J20&lt;$U$21,$V$21,IF(J20&lt;$U$22,$V$22,$V$23)))</f>
        <v>3</v>
      </c>
      <c r="K25" s="223"/>
      <c r="L25" s="223"/>
      <c r="M25" s="223">
        <f>IF(M20&lt;$U$26,$V$26,IF(M20&lt;$U$27,$V$27,IF(M20&lt;$U$28,$V$28,$V$29)))</f>
        <v>1</v>
      </c>
      <c r="N25" s="223"/>
      <c r="O25" s="223"/>
      <c r="P25" s="193">
        <f>IF(P20&lt;$U$33,$V$33,IF(P20&lt;$U$34,$V$34,IF(P20&lt;$U$35,$V$35,$V$36)))</f>
        <v>1</v>
      </c>
      <c r="Q25" s="193"/>
      <c r="R25" s="193"/>
      <c r="T25" s="307" t="s">
        <v>259</v>
      </c>
      <c r="U25" s="307"/>
      <c r="V25" s="307"/>
    </row>
    <row r="26" spans="2:23" ht="15.75" customHeight="1" thickTop="1" thickBot="1">
      <c r="P26" s="26"/>
      <c r="Q26" s="26"/>
      <c r="R26" s="26"/>
      <c r="T26">
        <f>MIN(M10,M20,M30,M40,M50,M4)</f>
        <v>0</v>
      </c>
      <c r="U26">
        <f>U29*0.15</f>
        <v>54.9</v>
      </c>
      <c r="V26">
        <v>4</v>
      </c>
      <c r="W26" t="s">
        <v>260</v>
      </c>
    </row>
    <row r="27" spans="2:23">
      <c r="B27" s="354" t="s">
        <v>296</v>
      </c>
      <c r="C27" s="355"/>
      <c r="D27" s="355"/>
      <c r="E27" s="355"/>
      <c r="F27" s="355"/>
      <c r="G27" s="355"/>
      <c r="H27" s="355"/>
      <c r="I27" s="355"/>
      <c r="J27" s="355"/>
      <c r="K27" s="355"/>
      <c r="L27" s="355"/>
      <c r="M27" s="355"/>
      <c r="N27" s="355"/>
      <c r="O27" s="355"/>
      <c r="P27" s="355"/>
      <c r="Q27" s="355"/>
      <c r="R27" s="356"/>
      <c r="T27">
        <f>U26</f>
        <v>54.9</v>
      </c>
      <c r="U27">
        <f>AVERAGE(U29,T26)</f>
        <v>183</v>
      </c>
      <c r="V27">
        <v>3</v>
      </c>
    </row>
    <row r="28" spans="2:23">
      <c r="B28" s="11"/>
      <c r="C28" s="305" t="s">
        <v>242</v>
      </c>
      <c r="D28" s="305"/>
      <c r="E28" s="305"/>
      <c r="F28" s="305"/>
      <c r="G28" s="305" t="s">
        <v>245</v>
      </c>
      <c r="H28" s="305"/>
      <c r="I28" s="305"/>
      <c r="J28" s="305" t="s">
        <v>246</v>
      </c>
      <c r="K28" s="305"/>
      <c r="L28" s="305"/>
      <c r="M28" s="305" t="s">
        <v>244</v>
      </c>
      <c r="N28" s="305"/>
      <c r="O28" s="305"/>
      <c r="P28" s="305" t="s">
        <v>9</v>
      </c>
      <c r="Q28" s="305"/>
      <c r="R28" s="306"/>
      <c r="T28">
        <f>AVERAGE(U29,T26)</f>
        <v>183</v>
      </c>
      <c r="U28">
        <f>T29</f>
        <v>311.09999999999997</v>
      </c>
      <c r="V28">
        <v>2</v>
      </c>
    </row>
    <row r="29" spans="2:23">
      <c r="B29" s="11"/>
      <c r="C29" s="26" t="s">
        <v>248</v>
      </c>
      <c r="D29" s="26" t="s">
        <v>253</v>
      </c>
      <c r="E29" s="26" t="s">
        <v>254</v>
      </c>
      <c r="F29" s="26"/>
      <c r="G29" s="305" t="s">
        <v>252</v>
      </c>
      <c r="H29" s="305"/>
      <c r="I29" s="305"/>
      <c r="J29" s="305" t="s">
        <v>252</v>
      </c>
      <c r="K29" s="305"/>
      <c r="L29" s="305"/>
      <c r="M29" s="305" t="s">
        <v>248</v>
      </c>
      <c r="N29" s="305"/>
      <c r="O29" s="305"/>
      <c r="P29" s="305" t="s">
        <v>288</v>
      </c>
      <c r="Q29" s="305"/>
      <c r="R29" s="306"/>
      <c r="T29">
        <f>U29*0.85</f>
        <v>311.09999999999997</v>
      </c>
      <c r="U29">
        <f>MAX(M10,M20,M30,M40,M50,M4)</f>
        <v>366</v>
      </c>
      <c r="V29">
        <v>1</v>
      </c>
      <c r="W29" t="s">
        <v>261</v>
      </c>
    </row>
    <row r="30" spans="2:23">
      <c r="B30" s="11" t="s">
        <v>247</v>
      </c>
      <c r="C30" s="26">
        <v>31</v>
      </c>
      <c r="D30" s="26">
        <v>2</v>
      </c>
      <c r="E30" s="26">
        <f>C30*D30</f>
        <v>62</v>
      </c>
      <c r="F30" s="26"/>
      <c r="G30" s="26">
        <v>22</v>
      </c>
      <c r="H30" s="26"/>
      <c r="I30" s="26"/>
      <c r="J30" s="26">
        <v>21</v>
      </c>
      <c r="K30" s="26"/>
      <c r="L30" s="26"/>
      <c r="M30" s="26">
        <v>333</v>
      </c>
      <c r="N30" s="26"/>
      <c r="O30" s="26"/>
      <c r="P30" s="224">
        <v>1437433687</v>
      </c>
      <c r="Q30" s="26"/>
      <c r="R30" s="189"/>
    </row>
    <row r="31" spans="2:23">
      <c r="B31" s="11" t="s">
        <v>249</v>
      </c>
      <c r="C31" s="26">
        <v>69</v>
      </c>
      <c r="D31" s="26">
        <v>5</v>
      </c>
      <c r="E31" s="26">
        <f t="shared" ref="E31:E33" si="2">C31*D31</f>
        <v>345</v>
      </c>
      <c r="F31" s="26"/>
      <c r="G31" s="26"/>
      <c r="H31" s="26"/>
      <c r="I31" s="26"/>
      <c r="J31" s="26"/>
      <c r="K31" s="26"/>
      <c r="L31" s="26"/>
      <c r="M31" s="26"/>
      <c r="N31" s="26"/>
      <c r="O31" s="26"/>
      <c r="P31" s="26"/>
      <c r="Q31" s="26"/>
      <c r="R31" s="189"/>
    </row>
    <row r="32" spans="2:23">
      <c r="B32" s="11" t="s">
        <v>250</v>
      </c>
      <c r="C32" s="26">
        <v>348</v>
      </c>
      <c r="D32" s="26">
        <v>0.5</v>
      </c>
      <c r="E32" s="26">
        <f t="shared" si="2"/>
        <v>174</v>
      </c>
      <c r="F32" s="26"/>
      <c r="G32" s="26"/>
      <c r="H32" s="26"/>
      <c r="I32" s="26"/>
      <c r="J32" s="26"/>
      <c r="K32" s="26"/>
      <c r="L32" s="26"/>
      <c r="M32" s="26"/>
      <c r="N32" s="26"/>
      <c r="O32" s="26"/>
      <c r="P32" s="26"/>
      <c r="Q32" s="26"/>
      <c r="R32" s="189"/>
      <c r="T32" s="307" t="s">
        <v>9</v>
      </c>
      <c r="U32" s="307"/>
      <c r="V32" s="307"/>
    </row>
    <row r="33" spans="2:23">
      <c r="B33" s="11" t="s">
        <v>251</v>
      </c>
      <c r="C33" s="26">
        <v>104</v>
      </c>
      <c r="D33" s="26">
        <v>1</v>
      </c>
      <c r="E33" s="26">
        <f t="shared" si="2"/>
        <v>104</v>
      </c>
      <c r="F33" s="26"/>
      <c r="G33" s="26"/>
      <c r="H33" s="26"/>
      <c r="I33" s="26"/>
      <c r="J33" s="26"/>
      <c r="K33" s="26"/>
      <c r="L33" s="26"/>
      <c r="M33" s="26"/>
      <c r="N33" s="26"/>
      <c r="O33" s="26"/>
      <c r="P33" s="26"/>
      <c r="Q33" s="26"/>
      <c r="R33" s="189"/>
      <c r="T33" s="226">
        <f>MIN(P20,P30,P40,P50,M57,P10)</f>
        <v>1203110110.168</v>
      </c>
      <c r="U33" s="226">
        <f>U36*0.2</f>
        <v>290176334</v>
      </c>
      <c r="V33">
        <v>4</v>
      </c>
    </row>
    <row r="34" spans="2:23" ht="15.75" thickBot="1">
      <c r="B34" s="308" t="s">
        <v>255</v>
      </c>
      <c r="C34" s="309"/>
      <c r="D34" s="309"/>
      <c r="E34" s="190">
        <f>SUM(E30:E33)</f>
        <v>685</v>
      </c>
      <c r="F34" s="190"/>
      <c r="G34" s="190"/>
      <c r="H34" s="190"/>
      <c r="I34" s="190"/>
      <c r="J34" s="190"/>
      <c r="K34" s="190"/>
      <c r="L34" s="190"/>
      <c r="M34" s="190"/>
      <c r="N34" s="190"/>
      <c r="O34" s="190"/>
      <c r="P34" s="190"/>
      <c r="Q34" s="190"/>
      <c r="R34" s="191"/>
      <c r="T34" s="226">
        <f>U33</f>
        <v>290176334</v>
      </c>
      <c r="U34" s="226">
        <f>T36*0.8</f>
        <v>1044634802.4000001</v>
      </c>
      <c r="V34">
        <v>3</v>
      </c>
      <c r="W34" t="s">
        <v>291</v>
      </c>
    </row>
    <row r="35" spans="2:23" ht="15.75" thickBot="1">
      <c r="B35" s="310" t="s">
        <v>256</v>
      </c>
      <c r="C35" s="310"/>
      <c r="D35" s="310"/>
      <c r="E35" s="223">
        <f>IF(E34&lt;$U$8,$V$8,IF(E34&lt;$U$9,$V$9,IF(E34&lt;$U$10,$V$10,$V$11)))</f>
        <v>1</v>
      </c>
      <c r="F35" s="223"/>
      <c r="G35" s="223">
        <f>IF(G30&lt;$U$14,$V$14,IF(G30&lt;$U$15,$V$15,IF(G30&lt;$U$16,$V$16,$V$17)))</f>
        <v>3</v>
      </c>
      <c r="H35" s="223"/>
      <c r="I35" s="223"/>
      <c r="J35" s="223">
        <f>IF(J30&lt;$U$20,$V$20,IF(J30&lt;$U$21,$V$21,IF(J30&lt;$U$22,$V$22,$V$23)))</f>
        <v>4</v>
      </c>
      <c r="K35" s="223"/>
      <c r="L35" s="223"/>
      <c r="M35" s="223">
        <f>IF(M30&lt;$U$26,$V$26,IF(M30&lt;$U$27,$V$27,IF(M30&lt;$U$28,$V$28,$V$29)))</f>
        <v>1</v>
      </c>
      <c r="N35" s="223"/>
      <c r="O35" s="223"/>
      <c r="P35" s="225">
        <f>IF(P30&lt;$U$33,$V$33,IF(P30&lt;$U$34,$V$34,IF(P30&lt;$U$35,$V$35,$V$36)))</f>
        <v>1</v>
      </c>
      <c r="Q35" s="193"/>
      <c r="R35" s="193"/>
      <c r="T35" s="226">
        <f>AVERAGE(U36,T33)</f>
        <v>1326995890.0840001</v>
      </c>
      <c r="U35" s="226">
        <f>T36</f>
        <v>1305793503</v>
      </c>
      <c r="V35">
        <v>2</v>
      </c>
      <c r="W35" t="s">
        <v>289</v>
      </c>
    </row>
    <row r="36" spans="2:23" ht="16.5" thickTop="1" thickBot="1">
      <c r="P36" s="26"/>
      <c r="Q36" s="26"/>
      <c r="R36" s="26"/>
      <c r="T36" s="226">
        <f>U36*0.9</f>
        <v>1305793503</v>
      </c>
      <c r="U36" s="226">
        <f>MAX(P20,P30,P40,P50,M57,P10)</f>
        <v>1450881670</v>
      </c>
      <c r="V36">
        <v>1</v>
      </c>
      <c r="W36" t="s">
        <v>290</v>
      </c>
    </row>
    <row r="37" spans="2:23">
      <c r="B37" s="357" t="s">
        <v>292</v>
      </c>
      <c r="C37" s="358"/>
      <c r="D37" s="358"/>
      <c r="E37" s="358"/>
      <c r="F37" s="358"/>
      <c r="G37" s="358"/>
      <c r="H37" s="358"/>
      <c r="I37" s="358"/>
      <c r="J37" s="358"/>
      <c r="K37" s="358"/>
      <c r="L37" s="358"/>
      <c r="M37" s="358"/>
      <c r="N37" s="358"/>
      <c r="O37" s="358"/>
      <c r="P37" s="358"/>
      <c r="Q37" s="358"/>
      <c r="R37" s="359"/>
    </row>
    <row r="38" spans="2:23">
      <c r="B38" s="11"/>
      <c r="C38" s="305" t="s">
        <v>242</v>
      </c>
      <c r="D38" s="305"/>
      <c r="E38" s="305"/>
      <c r="F38" s="305"/>
      <c r="G38" s="305" t="s">
        <v>245</v>
      </c>
      <c r="H38" s="305"/>
      <c r="I38" s="305"/>
      <c r="J38" s="305" t="s">
        <v>246</v>
      </c>
      <c r="K38" s="305"/>
      <c r="L38" s="305"/>
      <c r="M38" s="305" t="s">
        <v>244</v>
      </c>
      <c r="N38" s="305"/>
      <c r="O38" s="305"/>
      <c r="P38" s="305" t="s">
        <v>9</v>
      </c>
      <c r="Q38" s="305"/>
      <c r="R38" s="306"/>
    </row>
    <row r="39" spans="2:23">
      <c r="B39" s="11"/>
      <c r="C39" s="26" t="s">
        <v>248</v>
      </c>
      <c r="D39" s="26" t="s">
        <v>253</v>
      </c>
      <c r="E39" s="26" t="s">
        <v>254</v>
      </c>
      <c r="F39" s="26"/>
      <c r="G39" s="305" t="s">
        <v>252</v>
      </c>
      <c r="H39" s="305"/>
      <c r="I39" s="305"/>
      <c r="J39" s="305" t="s">
        <v>252</v>
      </c>
      <c r="K39" s="305"/>
      <c r="L39" s="305"/>
      <c r="M39" s="305" t="s">
        <v>248</v>
      </c>
      <c r="N39" s="305"/>
      <c r="O39" s="305"/>
      <c r="P39" s="305" t="s">
        <v>288</v>
      </c>
      <c r="Q39" s="305"/>
      <c r="R39" s="306"/>
    </row>
    <row r="40" spans="2:23">
      <c r="B40" s="11" t="s">
        <v>247</v>
      </c>
      <c r="C40" s="26">
        <v>33</v>
      </c>
      <c r="D40" s="26">
        <v>2</v>
      </c>
      <c r="E40" s="26">
        <f>C40*D40</f>
        <v>66</v>
      </c>
      <c r="F40" s="26"/>
      <c r="G40" s="26">
        <v>87</v>
      </c>
      <c r="H40" s="26"/>
      <c r="I40" s="26"/>
      <c r="J40" s="26">
        <v>217</v>
      </c>
      <c r="K40" s="26"/>
      <c r="L40" s="26"/>
      <c r="M40" s="26">
        <v>187</v>
      </c>
      <c r="N40" s="26"/>
      <c r="O40" s="26"/>
      <c r="P40" s="224">
        <v>1203440341.168</v>
      </c>
      <c r="Q40" s="26"/>
      <c r="R40" s="189"/>
    </row>
    <row r="41" spans="2:23">
      <c r="B41" s="11" t="s">
        <v>249</v>
      </c>
      <c r="C41" s="26">
        <v>70</v>
      </c>
      <c r="D41" s="26">
        <v>5</v>
      </c>
      <c r="E41" s="26">
        <f t="shared" ref="E41:E43" si="3">C41*D41</f>
        <v>350</v>
      </c>
      <c r="F41" s="26"/>
      <c r="G41" s="26"/>
      <c r="H41" s="26"/>
      <c r="I41" s="26"/>
      <c r="J41" s="26"/>
      <c r="K41" s="26"/>
      <c r="L41" s="26"/>
      <c r="M41" s="26"/>
      <c r="N41" s="26"/>
      <c r="O41" s="26"/>
      <c r="P41" s="26"/>
      <c r="Q41" s="26"/>
      <c r="R41" s="189"/>
    </row>
    <row r="42" spans="2:23">
      <c r="B42" s="11" t="s">
        <v>250</v>
      </c>
      <c r="C42" s="26">
        <v>139</v>
      </c>
      <c r="D42" s="26">
        <v>0.5</v>
      </c>
      <c r="E42" s="26">
        <f t="shared" si="3"/>
        <v>69.5</v>
      </c>
      <c r="F42" s="26"/>
      <c r="G42" s="26"/>
      <c r="H42" s="26"/>
      <c r="I42" s="26"/>
      <c r="J42" s="26"/>
      <c r="K42" s="26"/>
      <c r="L42" s="26"/>
      <c r="M42" s="26"/>
      <c r="N42" s="26"/>
      <c r="O42" s="26"/>
      <c r="P42" s="26"/>
      <c r="Q42" s="26"/>
      <c r="R42" s="189"/>
    </row>
    <row r="43" spans="2:23">
      <c r="B43" s="11" t="s">
        <v>251</v>
      </c>
      <c r="C43" s="26">
        <v>63</v>
      </c>
      <c r="D43" s="26">
        <v>1</v>
      </c>
      <c r="E43" s="26">
        <f t="shared" si="3"/>
        <v>63</v>
      </c>
      <c r="F43" s="26"/>
      <c r="G43" s="26"/>
      <c r="H43" s="26"/>
      <c r="I43" s="26"/>
      <c r="J43" s="26"/>
      <c r="K43" s="26"/>
      <c r="L43" s="26"/>
      <c r="M43" s="26"/>
      <c r="N43" s="26"/>
      <c r="O43" s="26"/>
      <c r="P43" s="26"/>
      <c r="Q43" s="26"/>
      <c r="R43" s="189"/>
    </row>
    <row r="44" spans="2:23" ht="15.75" thickBot="1">
      <c r="B44" s="308" t="s">
        <v>255</v>
      </c>
      <c r="C44" s="309"/>
      <c r="D44" s="309"/>
      <c r="E44" s="190">
        <f>SUM(E40:E43)</f>
        <v>548.5</v>
      </c>
      <c r="F44" s="190"/>
      <c r="G44" s="190"/>
      <c r="H44" s="190"/>
      <c r="I44" s="190"/>
      <c r="J44" s="190"/>
      <c r="K44" s="190"/>
      <c r="L44" s="190"/>
      <c r="M44" s="190"/>
      <c r="N44" s="190"/>
      <c r="O44" s="190"/>
      <c r="P44" s="190"/>
      <c r="Q44" s="190"/>
      <c r="R44" s="191"/>
    </row>
    <row r="45" spans="2:23" ht="15.75" thickBot="1">
      <c r="B45" s="310" t="s">
        <v>256</v>
      </c>
      <c r="C45" s="310"/>
      <c r="D45" s="310"/>
      <c r="E45" s="223">
        <f>IF(E44&lt;$U$8,$V$8,IF(E44&lt;$U$9,$V$9,IF(E44&lt;$U$10,$V$10,$V$11)))</f>
        <v>2</v>
      </c>
      <c r="F45" s="223"/>
      <c r="G45" s="223">
        <f>IF(G40&lt;$U$14,$V$14,IF(G40&lt;$U$15,$V$15,IF(G40&lt;$U$16,$V$16,$V$17)))</f>
        <v>1</v>
      </c>
      <c r="H45" s="223"/>
      <c r="I45" s="223"/>
      <c r="J45" s="223">
        <f>IF(J40&lt;$U$20,$V$20,IF(J40&lt;$U$21,$V$21,IF(J40&lt;$U$22,$V$22,$V$23)))</f>
        <v>1</v>
      </c>
      <c r="K45" s="223"/>
      <c r="L45" s="223"/>
      <c r="M45" s="223">
        <f>IF(M40&lt;$U$26,$V$26,IF(M40&lt;$U$27,$V$27,IF(M40&lt;$U$28,$V$28,$V$29)))</f>
        <v>2</v>
      </c>
      <c r="N45" s="223"/>
      <c r="O45" s="223"/>
      <c r="P45" s="225">
        <f>IF(P40&lt;$U$33,$V$33,IF(P40&lt;$U$34,$V$34,IF(P40&lt;$U$35,$V$35,$V$36)))</f>
        <v>2</v>
      </c>
      <c r="Q45" s="193"/>
      <c r="R45" s="193"/>
    </row>
    <row r="46" spans="2:23" ht="16.5" thickTop="1" thickBot="1">
      <c r="P46" s="26"/>
      <c r="Q46" s="26"/>
      <c r="R46" s="26"/>
    </row>
    <row r="47" spans="2:23">
      <c r="B47" s="360" t="s">
        <v>293</v>
      </c>
      <c r="C47" s="361"/>
      <c r="D47" s="361"/>
      <c r="E47" s="361"/>
      <c r="F47" s="361"/>
      <c r="G47" s="361"/>
      <c r="H47" s="361"/>
      <c r="I47" s="361"/>
      <c r="J47" s="361"/>
      <c r="K47" s="361"/>
      <c r="L47" s="361"/>
      <c r="M47" s="361"/>
      <c r="N47" s="361"/>
      <c r="O47" s="361"/>
      <c r="P47" s="361"/>
      <c r="Q47" s="361"/>
      <c r="R47" s="362"/>
    </row>
    <row r="48" spans="2:23">
      <c r="B48" s="11"/>
      <c r="C48" s="305" t="s">
        <v>242</v>
      </c>
      <c r="D48" s="305"/>
      <c r="E48" s="305"/>
      <c r="F48" s="305"/>
      <c r="G48" s="305" t="s">
        <v>245</v>
      </c>
      <c r="H48" s="305"/>
      <c r="I48" s="305"/>
      <c r="J48" s="305" t="s">
        <v>246</v>
      </c>
      <c r="K48" s="305"/>
      <c r="L48" s="305"/>
      <c r="M48" s="305" t="s">
        <v>244</v>
      </c>
      <c r="N48" s="305"/>
      <c r="O48" s="305"/>
      <c r="P48" s="305" t="s">
        <v>9</v>
      </c>
      <c r="Q48" s="305"/>
      <c r="R48" s="306"/>
    </row>
    <row r="49" spans="2:18">
      <c r="B49" s="11"/>
      <c r="C49" s="26" t="s">
        <v>248</v>
      </c>
      <c r="D49" s="26" t="s">
        <v>253</v>
      </c>
      <c r="E49" s="26" t="s">
        <v>254</v>
      </c>
      <c r="F49" s="26"/>
      <c r="G49" s="305" t="s">
        <v>252</v>
      </c>
      <c r="H49" s="305"/>
      <c r="I49" s="305"/>
      <c r="J49" s="305" t="s">
        <v>252</v>
      </c>
      <c r="K49" s="305"/>
      <c r="L49" s="305"/>
      <c r="M49" s="305" t="s">
        <v>248</v>
      </c>
      <c r="N49" s="305"/>
      <c r="O49" s="305"/>
      <c r="P49" s="305" t="s">
        <v>288</v>
      </c>
      <c r="Q49" s="305"/>
      <c r="R49" s="306"/>
    </row>
    <row r="50" spans="2:18">
      <c r="B50" s="11" t="s">
        <v>247</v>
      </c>
      <c r="C50" s="26">
        <v>39</v>
      </c>
      <c r="D50" s="26">
        <v>2</v>
      </c>
      <c r="E50" s="26">
        <f>C50*D50</f>
        <v>78</v>
      </c>
      <c r="F50" s="26"/>
      <c r="G50" s="26">
        <v>69</v>
      </c>
      <c r="H50" s="26"/>
      <c r="I50" s="26"/>
      <c r="J50" s="26">
        <v>185</v>
      </c>
      <c r="K50" s="26"/>
      <c r="L50" s="26"/>
      <c r="M50" s="26">
        <v>177</v>
      </c>
      <c r="N50" s="26"/>
      <c r="O50" s="26"/>
      <c r="P50" s="224">
        <v>1203110110.168</v>
      </c>
      <c r="Q50" s="26"/>
      <c r="R50" s="189"/>
    </row>
    <row r="51" spans="2:18">
      <c r="B51" s="11" t="s">
        <v>249</v>
      </c>
      <c r="C51" s="26">
        <v>66</v>
      </c>
      <c r="D51" s="26">
        <v>5</v>
      </c>
      <c r="E51" s="26">
        <f t="shared" ref="E51:E53" si="4">C51*D51</f>
        <v>330</v>
      </c>
      <c r="F51" s="26"/>
      <c r="G51" s="26"/>
      <c r="H51" s="26"/>
      <c r="I51" s="26"/>
      <c r="J51" s="26"/>
      <c r="K51" s="26"/>
      <c r="L51" s="26"/>
      <c r="M51" s="26"/>
      <c r="N51" s="26"/>
      <c r="O51" s="26"/>
      <c r="P51" s="26"/>
      <c r="Q51" s="26"/>
      <c r="R51" s="189"/>
    </row>
    <row r="52" spans="2:18">
      <c r="B52" s="11" t="s">
        <v>250</v>
      </c>
      <c r="C52" s="26">
        <v>137</v>
      </c>
      <c r="D52" s="26">
        <v>0.5</v>
      </c>
      <c r="E52" s="26">
        <f t="shared" si="4"/>
        <v>68.5</v>
      </c>
      <c r="F52" s="26"/>
      <c r="G52" s="26"/>
      <c r="H52" s="26"/>
      <c r="I52" s="26"/>
      <c r="J52" s="26"/>
      <c r="K52" s="26"/>
      <c r="L52" s="26"/>
      <c r="M52" s="26"/>
      <c r="N52" s="26"/>
      <c r="O52" s="26"/>
      <c r="P52" s="26"/>
      <c r="Q52" s="26"/>
      <c r="R52" s="189"/>
    </row>
    <row r="53" spans="2:18">
      <c r="B53" s="11" t="s">
        <v>251</v>
      </c>
      <c r="C53" s="26">
        <v>68</v>
      </c>
      <c r="D53" s="26">
        <v>1</v>
      </c>
      <c r="E53" s="26">
        <f t="shared" si="4"/>
        <v>68</v>
      </c>
      <c r="F53" s="26"/>
      <c r="G53" s="26"/>
      <c r="H53" s="26"/>
      <c r="I53" s="26"/>
      <c r="J53" s="26"/>
      <c r="K53" s="26"/>
      <c r="L53" s="26"/>
      <c r="M53" s="26"/>
      <c r="N53" s="26"/>
      <c r="O53" s="26"/>
      <c r="P53" s="26"/>
      <c r="Q53" s="26"/>
      <c r="R53" s="189"/>
    </row>
    <row r="54" spans="2:18" ht="15.75" thickBot="1">
      <c r="B54" s="308" t="s">
        <v>255</v>
      </c>
      <c r="C54" s="309"/>
      <c r="D54" s="309"/>
      <c r="E54" s="190">
        <f>SUM(E50:E53)</f>
        <v>544.5</v>
      </c>
      <c r="F54" s="190"/>
      <c r="G54" s="190"/>
      <c r="H54" s="190"/>
      <c r="I54" s="190"/>
      <c r="J54" s="190"/>
      <c r="K54" s="190"/>
      <c r="L54" s="190"/>
      <c r="M54" s="190"/>
      <c r="N54" s="190"/>
      <c r="O54" s="190"/>
      <c r="P54" s="190"/>
      <c r="Q54" s="190"/>
      <c r="R54" s="191"/>
    </row>
    <row r="55" spans="2:18" ht="15.75" thickBot="1">
      <c r="B55" s="310" t="s">
        <v>256</v>
      </c>
      <c r="C55" s="310"/>
      <c r="D55" s="310"/>
      <c r="E55" s="223">
        <f>IF(E54&lt;$U$8,$V$8,IF(E54&lt;$U$9,$V$9,IF(E54&lt;$U$10,$V$10,$V$11)))</f>
        <v>2</v>
      </c>
      <c r="F55" s="223"/>
      <c r="G55" s="223">
        <f>IF(G50&lt;$U$14,$V$14,IF(G50&lt;$U$15,$V$15,IF(G50&lt;$U$16,$V$16,$V$17)))</f>
        <v>2</v>
      </c>
      <c r="H55" s="223"/>
      <c r="I55" s="223"/>
      <c r="J55" s="223">
        <f>IF(J50&lt;$U$20,$V$20,IF(J50&lt;$U$21,$V$21,IF(J50&lt;$U$22,$V$22,$V$23)))</f>
        <v>1</v>
      </c>
      <c r="K55" s="223"/>
      <c r="L55" s="223"/>
      <c r="M55" s="223">
        <f>IF(M50&lt;$U$26,$V$26,IF(M50&lt;$U$27,$V$27,IF(M50&lt;$U$28,$V$28,$V$29)))</f>
        <v>3</v>
      </c>
      <c r="N55" s="223"/>
      <c r="O55" s="223"/>
      <c r="P55" s="225">
        <f>IF(P50&lt;$U$33,$V$33,IF(P50&lt;$U$34,$V$34,IF(P50&lt;$U$35,$V$35,$V$36)))</f>
        <v>2</v>
      </c>
      <c r="Q55" s="193"/>
      <c r="R55" s="193"/>
    </row>
    <row r="56" spans="2:18" ht="15.75" thickTop="1">
      <c r="B56" s="192"/>
      <c r="C56" s="192"/>
      <c r="D56" s="192"/>
      <c r="E56" s="26"/>
      <c r="F56" s="26"/>
      <c r="G56" s="26"/>
      <c r="H56" s="26"/>
      <c r="I56" s="26"/>
      <c r="J56" s="26"/>
      <c r="K56" s="26"/>
      <c r="L56" s="26"/>
      <c r="M56" s="26"/>
      <c r="N56" s="26"/>
      <c r="O56" s="26"/>
      <c r="P56" s="26"/>
      <c r="Q56" s="26"/>
      <c r="R56" s="26"/>
    </row>
  </sheetData>
  <mergeCells count="73">
    <mergeCell ref="P49:R49"/>
    <mergeCell ref="B7:R7"/>
    <mergeCell ref="B17:R17"/>
    <mergeCell ref="B27:R27"/>
    <mergeCell ref="B37:R37"/>
    <mergeCell ref="B47:R47"/>
    <mergeCell ref="P28:R28"/>
    <mergeCell ref="P29:R29"/>
    <mergeCell ref="P38:R38"/>
    <mergeCell ref="P39:R39"/>
    <mergeCell ref="P48:R48"/>
    <mergeCell ref="M8:O8"/>
    <mergeCell ref="M9:O9"/>
    <mergeCell ref="B15:D15"/>
    <mergeCell ref="C8:F8"/>
    <mergeCell ref="P8:R8"/>
    <mergeCell ref="P9:R9"/>
    <mergeCell ref="P18:R18"/>
    <mergeCell ref="P19:R19"/>
    <mergeCell ref="T32:V32"/>
    <mergeCell ref="C48:F48"/>
    <mergeCell ref="G48:I48"/>
    <mergeCell ref="J48:L48"/>
    <mergeCell ref="G29:I29"/>
    <mergeCell ref="J29:L29"/>
    <mergeCell ref="G39:I39"/>
    <mergeCell ref="J39:L39"/>
    <mergeCell ref="M39:O39"/>
    <mergeCell ref="B44:D44"/>
    <mergeCell ref="G28:I28"/>
    <mergeCell ref="J28:L28"/>
    <mergeCell ref="M28:O28"/>
    <mergeCell ref="M29:O29"/>
    <mergeCell ref="B34:D34"/>
    <mergeCell ref="C38:F38"/>
    <mergeCell ref="G38:I38"/>
    <mergeCell ref="J38:L38"/>
    <mergeCell ref="B5:D5"/>
    <mergeCell ref="G19:I19"/>
    <mergeCell ref="J19:L19"/>
    <mergeCell ref="M19:O19"/>
    <mergeCell ref="B24:D24"/>
    <mergeCell ref="B14:D14"/>
    <mergeCell ref="C18:F18"/>
    <mergeCell ref="G18:I18"/>
    <mergeCell ref="J18:L18"/>
    <mergeCell ref="M18:O18"/>
    <mergeCell ref="G8:I8"/>
    <mergeCell ref="G9:I9"/>
    <mergeCell ref="J8:L8"/>
    <mergeCell ref="J9:L9"/>
    <mergeCell ref="B4:D4"/>
    <mergeCell ref="B55:D55"/>
    <mergeCell ref="T13:V13"/>
    <mergeCell ref="T7:V7"/>
    <mergeCell ref="T19:V19"/>
    <mergeCell ref="T25:V25"/>
    <mergeCell ref="M49:O49"/>
    <mergeCell ref="M48:O48"/>
    <mergeCell ref="M38:O38"/>
    <mergeCell ref="B25:D25"/>
    <mergeCell ref="B35:D35"/>
    <mergeCell ref="B45:D45"/>
    <mergeCell ref="G49:I49"/>
    <mergeCell ref="J49:L49"/>
    <mergeCell ref="B54:D54"/>
    <mergeCell ref="C28:F28"/>
    <mergeCell ref="C3:F3"/>
    <mergeCell ref="G3:I3"/>
    <mergeCell ref="J3:L3"/>
    <mergeCell ref="M3:O3"/>
    <mergeCell ref="B2:R2"/>
    <mergeCell ref="P3:R3"/>
  </mergeCells>
  <pageMargins left="0.7" right="0.7" top="0.75" bottom="0.75" header="0.3" footer="0.3"/>
  <pageSetup paperSize="256"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5A3E7-E618-41CB-8A3B-8612491AFEFC}">
  <sheetPr>
    <tabColor theme="4" tint="0.79998168889431442"/>
    <pageSetUpPr fitToPage="1"/>
  </sheetPr>
  <dimension ref="B2:K23"/>
  <sheetViews>
    <sheetView workbookViewId="0"/>
  </sheetViews>
  <sheetFormatPr defaultRowHeight="15"/>
  <cols>
    <col min="2" max="2" width="34.28515625" customWidth="1"/>
    <col min="3" max="3" width="70.42578125" customWidth="1"/>
    <col min="4" max="4" width="13.85546875" bestFit="1" customWidth="1"/>
    <col min="5" max="5" width="70.42578125" customWidth="1"/>
    <col min="6" max="10" width="25.7109375" customWidth="1"/>
    <col min="11" max="11" width="61" customWidth="1"/>
  </cols>
  <sheetData>
    <row r="2" spans="2:11">
      <c r="F2" s="363" t="s">
        <v>205</v>
      </c>
      <c r="G2" s="363"/>
      <c r="H2" s="363"/>
      <c r="I2" s="363"/>
      <c r="J2" s="363"/>
    </row>
    <row r="3" spans="2:11" ht="46.5">
      <c r="B3" s="183" t="s">
        <v>233</v>
      </c>
      <c r="C3" s="183" t="s">
        <v>232</v>
      </c>
      <c r="D3" s="183" t="s">
        <v>196</v>
      </c>
      <c r="E3" s="183" t="s">
        <v>185</v>
      </c>
      <c r="F3" s="182">
        <v>0</v>
      </c>
      <c r="G3" s="182">
        <v>1</v>
      </c>
      <c r="H3" s="182">
        <v>2</v>
      </c>
      <c r="I3" s="182">
        <v>3</v>
      </c>
      <c r="J3" s="182">
        <v>4</v>
      </c>
      <c r="K3" s="183" t="s">
        <v>206</v>
      </c>
    </row>
    <row r="4" spans="2:11" ht="89.25" customHeight="1">
      <c r="B4" s="185" t="str">
        <f>+'Tech WorkshopQualitative Matrix'!B5</f>
        <v>Enhances Regional Mobility</v>
      </c>
      <c r="C4" s="184" t="s">
        <v>178</v>
      </c>
      <c r="D4" s="2" t="s">
        <v>198</v>
      </c>
      <c r="E4" s="184" t="s">
        <v>213</v>
      </c>
      <c r="F4" s="186" t="s">
        <v>236</v>
      </c>
      <c r="G4" s="186" t="s">
        <v>211</v>
      </c>
      <c r="H4" s="186" t="s">
        <v>210</v>
      </c>
      <c r="I4" s="186" t="s">
        <v>209</v>
      </c>
      <c r="J4" s="186" t="s">
        <v>208</v>
      </c>
      <c r="K4" s="184" t="s">
        <v>212</v>
      </c>
    </row>
    <row r="5" spans="2:11" ht="99.95" customHeight="1">
      <c r="B5" s="185" t="str">
        <f>+'Tech WorkshopQualitative Matrix'!B6</f>
        <v xml:space="preserve">Supports Travel Demand </v>
      </c>
      <c r="C5" s="184" t="s">
        <v>227</v>
      </c>
      <c r="D5" s="2" t="s">
        <v>197</v>
      </c>
      <c r="E5" s="184" t="s">
        <v>215</v>
      </c>
      <c r="F5" s="186" t="s">
        <v>184</v>
      </c>
      <c r="G5" s="186" t="s">
        <v>219</v>
      </c>
      <c r="H5" s="186" t="s">
        <v>218</v>
      </c>
      <c r="I5" s="186" t="s">
        <v>217</v>
      </c>
      <c r="J5" s="186" t="s">
        <v>216</v>
      </c>
      <c r="K5" s="184" t="s">
        <v>214</v>
      </c>
    </row>
    <row r="6" spans="2:11" ht="99.95" customHeight="1">
      <c r="B6" s="185" t="str">
        <f>+'Tech WorkshopQualitative Matrix'!B7</f>
        <v>Enhances Safety/Meets Design Standards</v>
      </c>
      <c r="C6" s="184" t="str">
        <f>+'Tech WorkshopQualitative Matrix'!V7</f>
        <v>Alignment location has the ability to increase safety with respect to: adequate control of access for existing businesses, grade separations, divided roadways with barrier, enhance regional safety by providing safer route.</v>
      </c>
      <c r="D6" s="2" t="s">
        <v>198</v>
      </c>
      <c r="E6" s="184" t="s">
        <v>224</v>
      </c>
      <c r="F6" s="188" t="s">
        <v>236</v>
      </c>
      <c r="G6" s="364" t="s">
        <v>226</v>
      </c>
      <c r="H6" s="365"/>
      <c r="I6" s="366"/>
      <c r="J6" s="186" t="s">
        <v>225</v>
      </c>
    </row>
    <row r="7" spans="2:11" ht="105">
      <c r="B7" s="185" t="str">
        <f>+'Tech WorkshopQualitative Matrix'!B8</f>
        <v>Supports Future Regional Economic Growth</v>
      </c>
      <c r="C7" s="184" t="s">
        <v>179</v>
      </c>
      <c r="D7" s="2" t="s">
        <v>197</v>
      </c>
      <c r="E7" s="184" t="s">
        <v>220</v>
      </c>
      <c r="F7" s="186" t="s">
        <v>235</v>
      </c>
      <c r="G7" s="186" t="s">
        <v>234</v>
      </c>
      <c r="H7" s="186" t="s">
        <v>223</v>
      </c>
      <c r="I7" s="186" t="s">
        <v>222</v>
      </c>
      <c r="J7" s="186" t="s">
        <v>221</v>
      </c>
    </row>
    <row r="8" spans="2:11" ht="72" customHeight="1">
      <c r="B8" s="185" t="str">
        <f>+'Tech WorkshopQualitative Matrix'!B9</f>
        <v xml:space="preserve">Minimizes Construction Cost </v>
      </c>
      <c r="C8" s="184" t="s">
        <v>194</v>
      </c>
      <c r="D8" s="2" t="s">
        <v>198</v>
      </c>
      <c r="E8" s="184" t="s">
        <v>228</v>
      </c>
      <c r="F8" s="186" t="s">
        <v>237</v>
      </c>
      <c r="G8" s="186" t="s">
        <v>193</v>
      </c>
      <c r="H8" s="186" t="s">
        <v>201</v>
      </c>
      <c r="I8" s="186" t="s">
        <v>192</v>
      </c>
      <c r="J8" s="186" t="s">
        <v>191</v>
      </c>
      <c r="K8" s="187" t="s">
        <v>207</v>
      </c>
    </row>
    <row r="9" spans="2:11" ht="72" customHeight="1">
      <c r="B9" s="185" t="str">
        <f>+'Tech WorkshopQualitative Matrix'!B10</f>
        <v>Minimizes Current Residential Impacts</v>
      </c>
      <c r="C9" s="184" t="s">
        <v>180</v>
      </c>
      <c r="D9" s="2" t="s">
        <v>198</v>
      </c>
      <c r="E9" s="184" t="s">
        <v>229</v>
      </c>
      <c r="F9" s="186" t="s">
        <v>200</v>
      </c>
      <c r="G9" s="186"/>
      <c r="H9" s="186" t="s">
        <v>201</v>
      </c>
      <c r="I9" s="186"/>
      <c r="J9" s="186" t="s">
        <v>199</v>
      </c>
      <c r="K9" s="187" t="s">
        <v>207</v>
      </c>
    </row>
    <row r="10" spans="2:11" ht="72" customHeight="1">
      <c r="B10" s="185" t="str">
        <f>+'Tech WorkshopQualitative Matrix'!B11</f>
        <v>Minimizes Environmental and Park Land Impacts</v>
      </c>
      <c r="C10" s="184" t="s">
        <v>181</v>
      </c>
      <c r="D10" s="2" t="s">
        <v>198</v>
      </c>
      <c r="E10" s="184" t="s">
        <v>230</v>
      </c>
      <c r="F10" s="186" t="s">
        <v>202</v>
      </c>
      <c r="G10" s="186"/>
      <c r="H10" s="186" t="s">
        <v>203</v>
      </c>
      <c r="I10" s="186"/>
      <c r="J10" s="186" t="s">
        <v>199</v>
      </c>
      <c r="K10" s="187" t="s">
        <v>207</v>
      </c>
    </row>
    <row r="11" spans="2:11" ht="72" customHeight="1">
      <c r="B11" s="185" t="str">
        <f>+'Tech WorkshopQualitative Matrix'!B12</f>
        <v>Minimizes Current Business Impacts</v>
      </c>
      <c r="C11" s="184" t="s">
        <v>238</v>
      </c>
      <c r="D11" s="2" t="s">
        <v>198</v>
      </c>
      <c r="E11" s="184" t="s">
        <v>239</v>
      </c>
      <c r="F11" s="186" t="s">
        <v>200</v>
      </c>
      <c r="G11" s="186"/>
      <c r="H11" s="186" t="s">
        <v>201</v>
      </c>
      <c r="I11" s="186"/>
      <c r="J11" s="186" t="s">
        <v>199</v>
      </c>
      <c r="K11" s="187" t="s">
        <v>207</v>
      </c>
    </row>
    <row r="12" spans="2:11" ht="72" customHeight="1">
      <c r="B12" s="185" t="str">
        <f>+'Tech WorkshopQualitative Matrix'!B14</f>
        <v>Stakeholder and Public Support</v>
      </c>
      <c r="C12" s="184" t="s">
        <v>183</v>
      </c>
      <c r="D12" s="2" t="s">
        <v>197</v>
      </c>
      <c r="E12" s="184" t="s">
        <v>195</v>
      </c>
      <c r="F12" s="186" t="s">
        <v>186</v>
      </c>
      <c r="G12" s="186" t="s">
        <v>187</v>
      </c>
      <c r="H12" s="186" t="s">
        <v>188</v>
      </c>
      <c r="I12" s="186" t="s">
        <v>189</v>
      </c>
      <c r="J12" s="186" t="s">
        <v>190</v>
      </c>
    </row>
    <row r="13" spans="2:11" ht="15" customHeight="1"/>
    <row r="14" spans="2:11" ht="15" customHeight="1"/>
    <row r="15" spans="2:11" ht="15" customHeight="1"/>
    <row r="16" spans="2:11" ht="15" customHeight="1"/>
    <row r="17" spans="2:10" ht="15" customHeight="1"/>
    <row r="23" spans="2:10" ht="72" customHeight="1">
      <c r="B23" s="185" t="s">
        <v>231</v>
      </c>
      <c r="C23" s="184" t="s">
        <v>182</v>
      </c>
      <c r="D23" s="2" t="s">
        <v>197</v>
      </c>
      <c r="E23" s="184" t="s">
        <v>204</v>
      </c>
      <c r="F23" s="186" t="s">
        <v>186</v>
      </c>
      <c r="G23" s="186" t="s">
        <v>187</v>
      </c>
      <c r="H23" s="186" t="s">
        <v>188</v>
      </c>
      <c r="I23" s="186" t="s">
        <v>189</v>
      </c>
      <c r="J23" s="186" t="s">
        <v>190</v>
      </c>
    </row>
  </sheetData>
  <mergeCells count="2">
    <mergeCell ref="F2:J2"/>
    <mergeCell ref="G6:I6"/>
  </mergeCells>
  <pageMargins left="0.25" right="0.25" top="0.75" bottom="0.75" header="0.3" footer="0.3"/>
  <pageSetup paperSize="17" scale="5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61"/>
  <sheetViews>
    <sheetView topLeftCell="B8" workbookViewId="0"/>
  </sheetViews>
  <sheetFormatPr defaultColWidth="9.140625" defaultRowHeight="15"/>
  <cols>
    <col min="1" max="1" width="44.85546875" style="107" hidden="1" customWidth="1"/>
    <col min="2" max="2" width="69.140625" style="108" customWidth="1"/>
    <col min="3" max="3" width="17.28515625" style="108" customWidth="1"/>
    <col min="4" max="20" width="25.7109375" style="107" customWidth="1"/>
    <col min="21" max="21" width="15.28515625" style="107" customWidth="1"/>
    <col min="22" max="22" width="147.140625" style="107" customWidth="1"/>
    <col min="23" max="76" width="9.140625" style="107" customWidth="1"/>
    <col min="77" max="16384" width="9.140625" style="107"/>
  </cols>
  <sheetData>
    <row r="1" spans="1:24" ht="46.5" hidden="1">
      <c r="B1" s="367" t="s">
        <v>96</v>
      </c>
      <c r="C1" s="367"/>
      <c r="D1" s="367"/>
      <c r="E1" s="367"/>
      <c r="F1" s="367"/>
      <c r="G1" s="367"/>
      <c r="H1" s="367"/>
      <c r="I1" s="367"/>
      <c r="J1" s="367"/>
      <c r="K1" s="367"/>
      <c r="L1" s="367"/>
      <c r="M1" s="367"/>
      <c r="N1" s="367"/>
      <c r="O1" s="367"/>
      <c r="P1" s="367"/>
      <c r="Q1" s="367"/>
      <c r="R1" s="367"/>
      <c r="S1" s="367"/>
      <c r="T1" s="367"/>
    </row>
    <row r="2" spans="1:24" s="108" customFormat="1" ht="17.25" customHeight="1" thickBot="1">
      <c r="B2" s="109" t="s">
        <v>96</v>
      </c>
      <c r="C2" s="109"/>
    </row>
    <row r="3" spans="1:24" s="108" customFormat="1" ht="84.75" thickBot="1">
      <c r="A3" s="110"/>
      <c r="B3" s="111"/>
      <c r="C3" s="112"/>
      <c r="D3" s="113" t="s">
        <v>90</v>
      </c>
      <c r="E3" s="114" t="s">
        <v>102</v>
      </c>
      <c r="F3" s="115" t="s">
        <v>81</v>
      </c>
      <c r="G3" s="113" t="s">
        <v>82</v>
      </c>
      <c r="H3" s="113" t="s">
        <v>78</v>
      </c>
      <c r="I3" s="113" t="s">
        <v>87</v>
      </c>
      <c r="J3" s="113" t="s">
        <v>79</v>
      </c>
      <c r="K3" s="113" t="s">
        <v>86</v>
      </c>
      <c r="L3" s="113" t="s">
        <v>172</v>
      </c>
      <c r="M3" s="116"/>
      <c r="N3" s="113" t="s">
        <v>174</v>
      </c>
      <c r="O3" s="113" t="s">
        <v>85</v>
      </c>
      <c r="P3" s="113" t="s">
        <v>175</v>
      </c>
      <c r="Q3" s="117" t="s">
        <v>175</v>
      </c>
      <c r="R3" s="113" t="s">
        <v>176</v>
      </c>
      <c r="S3" s="113" t="s">
        <v>84</v>
      </c>
      <c r="T3" s="113" t="s">
        <v>80</v>
      </c>
      <c r="U3" s="118" t="s">
        <v>83</v>
      </c>
      <c r="V3" s="119"/>
    </row>
    <row r="4" spans="1:24" s="108" customFormat="1" ht="82.5" customHeight="1" thickBot="1">
      <c r="A4" s="120" t="s">
        <v>128</v>
      </c>
      <c r="B4" s="121" t="s">
        <v>0</v>
      </c>
      <c r="C4" s="121" t="s">
        <v>166</v>
      </c>
      <c r="D4" s="122"/>
      <c r="E4" s="123"/>
      <c r="F4" s="121" t="s">
        <v>167</v>
      </c>
      <c r="G4" s="123"/>
      <c r="H4" s="121" t="s">
        <v>168</v>
      </c>
      <c r="I4" s="123"/>
      <c r="J4" s="121" t="s">
        <v>169</v>
      </c>
      <c r="K4" s="123"/>
      <c r="L4" s="121" t="s">
        <v>92</v>
      </c>
      <c r="M4" s="123"/>
      <c r="N4" s="121" t="s">
        <v>173</v>
      </c>
      <c r="O4" s="123"/>
      <c r="P4" s="121" t="s">
        <v>93</v>
      </c>
      <c r="Q4" s="123"/>
      <c r="R4" s="121" t="s">
        <v>177</v>
      </c>
      <c r="S4" s="123"/>
      <c r="T4" s="121" t="s">
        <v>94</v>
      </c>
      <c r="U4" s="124"/>
      <c r="V4" s="125" t="s">
        <v>110</v>
      </c>
    </row>
    <row r="5" spans="1:24" s="135" customFormat="1" ht="45" customHeight="1">
      <c r="A5" s="126" t="s">
        <v>130</v>
      </c>
      <c r="B5" s="113" t="s">
        <v>76</v>
      </c>
      <c r="C5" s="127">
        <v>0.1111</v>
      </c>
      <c r="D5" s="128">
        <v>0</v>
      </c>
      <c r="E5" s="129" t="s">
        <v>105</v>
      </c>
      <c r="F5" s="128">
        <v>3</v>
      </c>
      <c r="G5" s="130" t="s">
        <v>140</v>
      </c>
      <c r="H5" s="131">
        <v>3</v>
      </c>
      <c r="I5" s="130" t="s">
        <v>143</v>
      </c>
      <c r="J5" s="131">
        <v>4</v>
      </c>
      <c r="K5" s="130" t="s">
        <v>141</v>
      </c>
      <c r="L5" s="131">
        <v>2</v>
      </c>
      <c r="M5" s="130" t="s">
        <v>139</v>
      </c>
      <c r="N5" s="131">
        <v>3</v>
      </c>
      <c r="O5" s="130" t="s">
        <v>138</v>
      </c>
      <c r="P5" s="131">
        <v>2</v>
      </c>
      <c r="Q5" s="130" t="s">
        <v>139</v>
      </c>
      <c r="R5" s="131">
        <v>3</v>
      </c>
      <c r="S5" s="130" t="s">
        <v>138</v>
      </c>
      <c r="T5" s="131">
        <v>1</v>
      </c>
      <c r="U5" s="132" t="s">
        <v>145</v>
      </c>
      <c r="V5" s="133" t="s">
        <v>129</v>
      </c>
      <c r="W5" s="134" t="s">
        <v>126</v>
      </c>
    </row>
    <row r="6" spans="1:24" s="135" customFormat="1" ht="45" customHeight="1">
      <c r="A6" s="126" t="s">
        <v>130</v>
      </c>
      <c r="B6" s="113" t="s">
        <v>170</v>
      </c>
      <c r="C6" s="127">
        <v>0.1111</v>
      </c>
      <c r="D6" s="128">
        <v>0</v>
      </c>
      <c r="E6" s="129" t="s">
        <v>106</v>
      </c>
      <c r="F6" s="128">
        <v>4</v>
      </c>
      <c r="G6" s="129" t="s">
        <v>137</v>
      </c>
      <c r="H6" s="128">
        <v>2</v>
      </c>
      <c r="I6" s="129" t="s">
        <v>144</v>
      </c>
      <c r="J6" s="128">
        <v>3</v>
      </c>
      <c r="K6" s="129"/>
      <c r="L6" s="128">
        <v>2</v>
      </c>
      <c r="M6" s="129" t="s">
        <v>147</v>
      </c>
      <c r="N6" s="128">
        <v>2</v>
      </c>
      <c r="O6" s="129" t="s">
        <v>147</v>
      </c>
      <c r="P6" s="128">
        <v>4</v>
      </c>
      <c r="Q6" s="129" t="s">
        <v>148</v>
      </c>
      <c r="R6" s="128">
        <v>4</v>
      </c>
      <c r="S6" s="129" t="s">
        <v>148</v>
      </c>
      <c r="T6" s="128">
        <v>3</v>
      </c>
      <c r="U6" s="136" t="s">
        <v>146</v>
      </c>
      <c r="V6" s="133" t="s">
        <v>127</v>
      </c>
      <c r="W6" s="137"/>
      <c r="X6" s="135" t="s">
        <v>125</v>
      </c>
    </row>
    <row r="7" spans="1:24" s="135" customFormat="1" ht="45" customHeight="1">
      <c r="A7" s="126" t="s">
        <v>130</v>
      </c>
      <c r="B7" s="113" t="s">
        <v>171</v>
      </c>
      <c r="C7" s="127">
        <v>0.1111</v>
      </c>
      <c r="D7" s="128">
        <v>0</v>
      </c>
      <c r="E7" s="129" t="s">
        <v>107</v>
      </c>
      <c r="F7" s="128">
        <v>3</v>
      </c>
      <c r="G7" s="129" t="s">
        <v>136</v>
      </c>
      <c r="H7" s="128">
        <v>3</v>
      </c>
      <c r="I7" s="129" t="s">
        <v>136</v>
      </c>
      <c r="J7" s="128">
        <v>4</v>
      </c>
      <c r="K7" s="138" t="s">
        <v>149</v>
      </c>
      <c r="L7" s="128">
        <v>4</v>
      </c>
      <c r="M7" s="138" t="s">
        <v>149</v>
      </c>
      <c r="N7" s="128">
        <v>4</v>
      </c>
      <c r="O7" s="138" t="s">
        <v>149</v>
      </c>
      <c r="P7" s="128">
        <v>4</v>
      </c>
      <c r="Q7" s="138" t="s">
        <v>149</v>
      </c>
      <c r="R7" s="128">
        <v>4</v>
      </c>
      <c r="S7" s="138" t="s">
        <v>149</v>
      </c>
      <c r="T7" s="128">
        <v>4</v>
      </c>
      <c r="U7" s="139" t="s">
        <v>149</v>
      </c>
      <c r="V7" s="133" t="s">
        <v>121</v>
      </c>
      <c r="W7" s="108"/>
      <c r="X7" s="108"/>
    </row>
    <row r="8" spans="1:24" s="135" customFormat="1" ht="45" customHeight="1">
      <c r="A8" s="126" t="s">
        <v>132</v>
      </c>
      <c r="B8" s="113" t="s">
        <v>120</v>
      </c>
      <c r="C8" s="127">
        <v>0.1111</v>
      </c>
      <c r="D8" s="140">
        <v>0</v>
      </c>
      <c r="E8" s="141" t="s">
        <v>105</v>
      </c>
      <c r="F8" s="140">
        <v>4</v>
      </c>
      <c r="G8" s="141" t="s">
        <v>135</v>
      </c>
      <c r="H8" s="142">
        <v>3</v>
      </c>
      <c r="I8" s="143" t="s">
        <v>154</v>
      </c>
      <c r="J8" s="142">
        <v>2</v>
      </c>
      <c r="K8" s="143" t="s">
        <v>153</v>
      </c>
      <c r="L8" s="142">
        <v>3</v>
      </c>
      <c r="M8" s="143" t="s">
        <v>152</v>
      </c>
      <c r="N8" s="142">
        <v>3</v>
      </c>
      <c r="O8" s="143" t="s">
        <v>152</v>
      </c>
      <c r="P8" s="142">
        <v>4</v>
      </c>
      <c r="Q8" s="143" t="s">
        <v>151</v>
      </c>
      <c r="R8" s="142">
        <v>4</v>
      </c>
      <c r="S8" s="143" t="s">
        <v>151</v>
      </c>
      <c r="T8" s="142">
        <v>2</v>
      </c>
      <c r="U8" s="139" t="s">
        <v>150</v>
      </c>
      <c r="V8" s="144" t="s">
        <v>124</v>
      </c>
      <c r="W8" s="108"/>
      <c r="X8" s="108"/>
    </row>
    <row r="9" spans="1:24" s="135" customFormat="1" ht="45" customHeight="1">
      <c r="A9" s="126" t="s">
        <v>132</v>
      </c>
      <c r="B9" s="113" t="s">
        <v>165</v>
      </c>
      <c r="C9" s="127">
        <v>0.1111</v>
      </c>
      <c r="D9" s="140">
        <v>4</v>
      </c>
      <c r="E9" s="141" t="s">
        <v>108</v>
      </c>
      <c r="F9" s="140">
        <v>3</v>
      </c>
      <c r="G9" s="141" t="s">
        <v>111</v>
      </c>
      <c r="H9" s="140">
        <v>3</v>
      </c>
      <c r="I9" s="141" t="s">
        <v>112</v>
      </c>
      <c r="J9" s="140">
        <v>3</v>
      </c>
      <c r="K9" s="141" t="s">
        <v>113</v>
      </c>
      <c r="L9" s="140">
        <v>2</v>
      </c>
      <c r="M9" s="141" t="s">
        <v>114</v>
      </c>
      <c r="N9" s="140">
        <v>1</v>
      </c>
      <c r="O9" s="141" t="s">
        <v>115</v>
      </c>
      <c r="P9" s="140">
        <v>2</v>
      </c>
      <c r="Q9" s="141" t="s">
        <v>116</v>
      </c>
      <c r="R9" s="140">
        <v>1</v>
      </c>
      <c r="S9" s="141" t="s">
        <v>117</v>
      </c>
      <c r="T9" s="140">
        <v>2</v>
      </c>
      <c r="U9" s="139" t="s">
        <v>118</v>
      </c>
      <c r="V9" s="145" t="s">
        <v>134</v>
      </c>
      <c r="W9" s="108"/>
      <c r="X9" s="108"/>
    </row>
    <row r="10" spans="1:24" s="135" customFormat="1" ht="45" customHeight="1">
      <c r="A10" s="126" t="s">
        <v>132</v>
      </c>
      <c r="B10" s="113" t="s">
        <v>240</v>
      </c>
      <c r="C10" s="127">
        <v>0.1111</v>
      </c>
      <c r="D10" s="140">
        <v>4</v>
      </c>
      <c r="E10" s="141" t="s">
        <v>109</v>
      </c>
      <c r="F10" s="140">
        <v>1</v>
      </c>
      <c r="G10" s="141" t="s">
        <v>155</v>
      </c>
      <c r="H10" s="140">
        <v>1</v>
      </c>
      <c r="I10" s="141" t="s">
        <v>155</v>
      </c>
      <c r="J10" s="140">
        <v>3</v>
      </c>
      <c r="K10" s="141" t="s">
        <v>156</v>
      </c>
      <c r="L10" s="140">
        <v>3</v>
      </c>
      <c r="M10" s="141" t="s">
        <v>156</v>
      </c>
      <c r="N10" s="140">
        <v>3</v>
      </c>
      <c r="O10" s="141" t="s">
        <v>156</v>
      </c>
      <c r="P10" s="140">
        <v>3</v>
      </c>
      <c r="Q10" s="141" t="s">
        <v>156</v>
      </c>
      <c r="R10" s="140">
        <v>3</v>
      </c>
      <c r="S10" s="141" t="s">
        <v>156</v>
      </c>
      <c r="T10" s="140">
        <v>3</v>
      </c>
      <c r="U10" s="146" t="s">
        <v>156</v>
      </c>
      <c r="V10" s="147" t="s">
        <v>157</v>
      </c>
      <c r="W10" s="108"/>
      <c r="X10" s="108"/>
    </row>
    <row r="11" spans="1:24" s="135" customFormat="1" ht="45" customHeight="1">
      <c r="A11" s="126" t="s">
        <v>132</v>
      </c>
      <c r="B11" s="113" t="s">
        <v>131</v>
      </c>
      <c r="C11" s="127">
        <v>0.1111</v>
      </c>
      <c r="D11" s="140">
        <v>4</v>
      </c>
      <c r="E11" s="141" t="s">
        <v>159</v>
      </c>
      <c r="F11" s="140">
        <v>3</v>
      </c>
      <c r="G11" s="141" t="s">
        <v>158</v>
      </c>
      <c r="H11" s="140">
        <v>2</v>
      </c>
      <c r="I11" s="141" t="s">
        <v>160</v>
      </c>
      <c r="J11" s="140">
        <v>0</v>
      </c>
      <c r="K11" s="148" t="s">
        <v>142</v>
      </c>
      <c r="L11" s="140">
        <v>3</v>
      </c>
      <c r="M11" s="141" t="s">
        <v>158</v>
      </c>
      <c r="N11" s="140">
        <v>2</v>
      </c>
      <c r="O11" s="141" t="s">
        <v>160</v>
      </c>
      <c r="P11" s="140">
        <v>3</v>
      </c>
      <c r="Q11" s="141" t="s">
        <v>158</v>
      </c>
      <c r="R11" s="140">
        <v>2</v>
      </c>
      <c r="S11" s="141" t="s">
        <v>160</v>
      </c>
      <c r="T11" s="140">
        <v>3</v>
      </c>
      <c r="U11" s="146" t="s">
        <v>158</v>
      </c>
      <c r="V11" s="145" t="s">
        <v>122</v>
      </c>
      <c r="W11" s="108"/>
      <c r="X11" s="108"/>
    </row>
    <row r="12" spans="1:24" s="135" customFormat="1" ht="45" customHeight="1">
      <c r="A12" s="126" t="s">
        <v>132</v>
      </c>
      <c r="B12" s="113" t="s">
        <v>241</v>
      </c>
      <c r="C12" s="127">
        <v>0.1111</v>
      </c>
      <c r="D12" s="140">
        <v>1</v>
      </c>
      <c r="E12" s="141" t="s">
        <v>100</v>
      </c>
      <c r="F12" s="140">
        <v>2</v>
      </c>
      <c r="G12" s="141" t="s">
        <v>161</v>
      </c>
      <c r="H12" s="140">
        <v>2</v>
      </c>
      <c r="I12" s="141" t="s">
        <v>161</v>
      </c>
      <c r="J12" s="140">
        <v>3</v>
      </c>
      <c r="K12" s="141" t="s">
        <v>101</v>
      </c>
      <c r="L12" s="140">
        <v>2</v>
      </c>
      <c r="M12" s="141" t="s">
        <v>162</v>
      </c>
      <c r="N12" s="140">
        <v>2</v>
      </c>
      <c r="O12" s="141" t="s">
        <v>162</v>
      </c>
      <c r="P12" s="140">
        <v>3</v>
      </c>
      <c r="Q12" s="141" t="s">
        <v>101</v>
      </c>
      <c r="R12" s="140">
        <v>3</v>
      </c>
      <c r="S12" s="141" t="s">
        <v>101</v>
      </c>
      <c r="T12" s="140">
        <v>3</v>
      </c>
      <c r="U12" s="146" t="s">
        <v>101</v>
      </c>
      <c r="V12" s="149" t="s">
        <v>123</v>
      </c>
      <c r="W12" s="108"/>
      <c r="X12" s="108"/>
    </row>
    <row r="13" spans="1:24" s="135" customFormat="1" ht="45" customHeight="1">
      <c r="A13" s="196"/>
      <c r="B13" s="115" t="s">
        <v>259</v>
      </c>
      <c r="C13" s="127"/>
      <c r="D13" s="153">
        <v>4</v>
      </c>
      <c r="E13" s="141" t="s">
        <v>262</v>
      </c>
      <c r="F13" s="153"/>
      <c r="G13" s="154"/>
      <c r="H13" s="153"/>
      <c r="I13" s="154"/>
      <c r="J13" s="153"/>
      <c r="K13" s="154"/>
      <c r="L13" s="153"/>
      <c r="M13" s="154"/>
      <c r="N13" s="153"/>
      <c r="O13" s="154"/>
      <c r="P13" s="153"/>
      <c r="Q13" s="154"/>
      <c r="R13" s="153"/>
      <c r="S13" s="154"/>
      <c r="T13" s="153"/>
      <c r="U13" s="197"/>
      <c r="V13" s="149"/>
      <c r="W13" s="108"/>
      <c r="X13" s="108"/>
    </row>
    <row r="14" spans="1:24" s="135" customFormat="1" ht="45" customHeight="1" thickBot="1">
      <c r="A14" s="150" t="s">
        <v>133</v>
      </c>
      <c r="B14" s="115" t="s">
        <v>119</v>
      </c>
      <c r="C14" s="127">
        <v>0.1111</v>
      </c>
      <c r="D14" s="151" t="s">
        <v>164</v>
      </c>
      <c r="E14" s="152"/>
      <c r="F14" s="151" t="s">
        <v>164</v>
      </c>
      <c r="G14" s="152"/>
      <c r="H14" s="151" t="s">
        <v>164</v>
      </c>
      <c r="I14" s="152"/>
      <c r="J14" s="153" t="s">
        <v>164</v>
      </c>
      <c r="K14" s="154"/>
      <c r="L14" s="153" t="s">
        <v>164</v>
      </c>
      <c r="M14" s="154"/>
      <c r="N14" s="153" t="s">
        <v>164</v>
      </c>
      <c r="O14" s="154"/>
      <c r="P14" s="153" t="s">
        <v>164</v>
      </c>
      <c r="Q14" s="154"/>
      <c r="R14" s="153" t="s">
        <v>164</v>
      </c>
      <c r="S14" s="154"/>
      <c r="T14" s="155" t="s">
        <v>164</v>
      </c>
      <c r="U14" s="139"/>
      <c r="V14" s="156"/>
    </row>
    <row r="15" spans="1:24" s="135" customFormat="1" ht="45" customHeight="1" thickBot="1">
      <c r="A15" s="157"/>
      <c r="B15" s="158" t="s">
        <v>22</v>
      </c>
      <c r="C15" s="159">
        <f>SUM(C5:C14)</f>
        <v>0.9998999999999999</v>
      </c>
      <c r="D15" s="160">
        <f>ROUND($C$5*D5+D6*$C$6+$C$7*D7+D8*$C$8+$C$9*D9+D10*$C$10+$C$11*D11+D12*$C$12,1)</f>
        <v>1.4</v>
      </c>
      <c r="E15" s="160"/>
      <c r="F15" s="160">
        <f>ROUND($C$5*F5+F6*$C$6+$C$7*F7+F8*$C$8+$C$9*F9+F10*$C$10+$C$11*F11+F12*$C$12,1)</f>
        <v>2.6</v>
      </c>
      <c r="G15" s="161"/>
      <c r="H15" s="160">
        <f>ROUND($C$5*H5+H6*$C$6+$C$7*H7+H8*$C$8+$C$9*H9+H10*$C$10+$C$11*H11+H12*$C$12,1)</f>
        <v>2.1</v>
      </c>
      <c r="I15" s="160" t="e">
        <f>AVERAGE(I5:I14)</f>
        <v>#DIV/0!</v>
      </c>
      <c r="J15" s="160">
        <f>ROUND($C$5*J5+J6*$C$6+$C$7*J7+J8*$C$8+$C$9*J9+J10*$C$10+$C$11*J11+J12*$C$12,1)</f>
        <v>2.4</v>
      </c>
      <c r="K15" s="160" t="e">
        <f>AVERAGE(K5:K14)</f>
        <v>#DIV/0!</v>
      </c>
      <c r="L15" s="160">
        <f>ROUND($C$5*L5+L6*$C$6+$C$7*L7+L8*$C$8+$C$9*L9+L10*$C$10+$C$11*L11+L12*$C$12,1)</f>
        <v>2.2999999999999998</v>
      </c>
      <c r="M15" s="160" t="e">
        <f>AVERAGE(M5:M14)</f>
        <v>#DIV/0!</v>
      </c>
      <c r="N15" s="160">
        <f>ROUND($C$5*N5+N6*$C$6+$C$7*N7+N8*$C$8+$C$9*N9+N10*$C$10+$C$11*N11+N12*$C$12,1)</f>
        <v>2.2000000000000002</v>
      </c>
      <c r="O15" s="160" t="e">
        <f>AVERAGE(O5:O14)</f>
        <v>#DIV/0!</v>
      </c>
      <c r="P15" s="160">
        <f>ROUND($C$5*P5+P6*$C$6+$C$7*P7+P8*$C$8+$C$9*P9+P10*$C$10+$C$11*P11+P12*$C$12,1)</f>
        <v>2.8</v>
      </c>
      <c r="Q15" s="160" t="e">
        <f>AVERAGE(Q5:Q14)</f>
        <v>#DIV/0!</v>
      </c>
      <c r="R15" s="160">
        <f>ROUND($C$5*R5+R6*$C$6+$C$7*R7+R8*$C$8+$C$9*R9+R10*$C$10+$C$11*R11+R12*$C$12,1)</f>
        <v>2.7</v>
      </c>
      <c r="S15" s="160" t="e">
        <f>AVERAGE(S5:S14)</f>
        <v>#DIV/0!</v>
      </c>
      <c r="T15" s="162">
        <f>ROUND($C$5*T5+T6*$C$6+$C$7*T7+T8*$C$8+$C$9*T9+T10*$C$10+$C$11*T11+T12*$C$12,1)</f>
        <v>2.2999999999999998</v>
      </c>
      <c r="U15" s="163"/>
      <c r="V15" s="164"/>
    </row>
    <row r="16" spans="1:24" ht="34.5" customHeight="1" thickBot="1">
      <c r="D16" s="108"/>
      <c r="E16" s="108"/>
      <c r="F16" s="108"/>
      <c r="G16" s="108"/>
      <c r="H16" s="108"/>
      <c r="I16" s="108"/>
      <c r="J16" s="108"/>
      <c r="K16" s="108"/>
      <c r="L16" s="108"/>
      <c r="M16" s="108"/>
      <c r="N16" s="108"/>
      <c r="O16" s="108"/>
      <c r="P16" s="108"/>
      <c r="Q16" s="108"/>
      <c r="R16" s="108"/>
      <c r="S16" s="108"/>
      <c r="T16" s="108"/>
      <c r="U16" s="165"/>
    </row>
    <row r="17" spans="2:21" ht="42" customHeight="1">
      <c r="D17" s="368" t="s">
        <v>95</v>
      </c>
      <c r="E17" s="369"/>
      <c r="F17" s="369"/>
      <c r="G17" s="369"/>
      <c r="H17" s="369"/>
      <c r="I17" s="369"/>
      <c r="J17" s="369"/>
      <c r="K17" s="369"/>
      <c r="L17" s="370"/>
      <c r="M17" s="108"/>
      <c r="N17" s="108"/>
      <c r="O17" s="108"/>
      <c r="P17" s="373" t="s">
        <v>163</v>
      </c>
      <c r="Q17" s="374"/>
      <c r="R17" s="375"/>
      <c r="S17" s="166"/>
      <c r="T17" s="166"/>
      <c r="U17" s="165"/>
    </row>
    <row r="18" spans="2:21" s="173" customFormat="1" ht="45" customHeight="1">
      <c r="B18" s="108"/>
      <c r="C18" s="108"/>
      <c r="D18" s="167" t="s">
        <v>89</v>
      </c>
      <c r="E18" s="168"/>
      <c r="F18" s="168"/>
      <c r="G18" s="169"/>
      <c r="H18" s="169" t="s">
        <v>91</v>
      </c>
      <c r="I18" s="168"/>
      <c r="J18" s="168"/>
      <c r="K18" s="170"/>
      <c r="L18" s="169" t="s">
        <v>98</v>
      </c>
      <c r="M18" s="108"/>
      <c r="N18" s="108"/>
      <c r="O18" s="108"/>
      <c r="P18" s="167" t="s">
        <v>130</v>
      </c>
      <c r="Q18" s="168"/>
      <c r="R18" s="171" t="s">
        <v>132</v>
      </c>
      <c r="S18" s="166"/>
      <c r="T18" s="166"/>
      <c r="U18" s="172"/>
    </row>
    <row r="19" spans="2:21" ht="45" customHeight="1" thickBot="1">
      <c r="D19" s="174">
        <v>0</v>
      </c>
      <c r="E19" s="175"/>
      <c r="F19" s="175">
        <v>1</v>
      </c>
      <c r="G19" s="175"/>
      <c r="H19" s="175">
        <v>2</v>
      </c>
      <c r="I19" s="175"/>
      <c r="J19" s="175">
        <v>3</v>
      </c>
      <c r="K19" s="176"/>
      <c r="L19" s="175">
        <v>4</v>
      </c>
      <c r="M19" s="108"/>
      <c r="N19" s="108"/>
      <c r="O19" s="108"/>
      <c r="P19" s="174">
        <v>4</v>
      </c>
      <c r="Q19" s="177"/>
      <c r="R19" s="178">
        <v>4</v>
      </c>
      <c r="S19" s="166"/>
      <c r="T19" s="166"/>
      <c r="U19" s="165"/>
    </row>
    <row r="20" spans="2:21">
      <c r="D20" s="166"/>
      <c r="E20" s="166"/>
      <c r="F20" s="166"/>
      <c r="G20" s="166"/>
      <c r="H20" s="166"/>
      <c r="I20" s="166"/>
      <c r="J20" s="166"/>
      <c r="K20" s="166"/>
      <c r="L20" s="166"/>
      <c r="M20" s="166"/>
      <c r="N20" s="166"/>
      <c r="O20" s="166"/>
      <c r="P20" s="166"/>
      <c r="Q20" s="166"/>
      <c r="R20" s="166"/>
      <c r="S20" s="166"/>
      <c r="T20" s="166"/>
      <c r="U20" s="165"/>
    </row>
    <row r="21" spans="2:21">
      <c r="D21" s="108"/>
      <c r="E21" s="108"/>
      <c r="F21" s="108"/>
      <c r="G21" s="108"/>
      <c r="H21" s="108"/>
      <c r="I21" s="108"/>
      <c r="J21" s="108"/>
      <c r="K21" s="108"/>
      <c r="L21" s="108"/>
      <c r="M21" s="108"/>
      <c r="N21" s="108"/>
      <c r="O21" s="108"/>
      <c r="P21" s="108"/>
      <c r="Q21" s="108"/>
      <c r="R21" s="108"/>
      <c r="S21" s="108"/>
      <c r="T21" s="108"/>
      <c r="U21" s="165"/>
    </row>
    <row r="22" spans="2:21" ht="45" customHeight="1">
      <c r="D22" s="371" t="s">
        <v>99</v>
      </c>
      <c r="E22" s="371"/>
      <c r="F22" s="371"/>
      <c r="G22" s="371"/>
      <c r="H22" s="371"/>
      <c r="I22" s="371"/>
      <c r="J22" s="371"/>
      <c r="K22" s="371"/>
      <c r="L22" s="371"/>
      <c r="M22" s="371"/>
      <c r="N22" s="371"/>
      <c r="O22" s="371"/>
      <c r="P22" s="371"/>
      <c r="Q22" s="371"/>
      <c r="R22" s="371"/>
      <c r="S22" s="371"/>
      <c r="T22" s="372"/>
      <c r="U22" s="165"/>
    </row>
    <row r="23" spans="2:21" ht="12" customHeight="1">
      <c r="D23" s="108"/>
      <c r="E23" s="108"/>
      <c r="F23" s="108"/>
      <c r="G23" s="108"/>
      <c r="H23" s="108"/>
      <c r="I23" s="108"/>
      <c r="J23" s="108"/>
      <c r="K23" s="108"/>
      <c r="L23" s="108"/>
      <c r="M23" s="108"/>
      <c r="N23" s="108"/>
      <c r="O23" s="108"/>
      <c r="P23" s="108"/>
      <c r="Q23" s="108"/>
      <c r="R23" s="108"/>
      <c r="S23" s="108"/>
      <c r="T23" s="108"/>
      <c r="U23" s="165"/>
    </row>
    <row r="24" spans="2:21" ht="12" customHeight="1">
      <c r="D24" s="108"/>
      <c r="E24" s="108"/>
      <c r="F24" s="108"/>
      <c r="G24" s="108"/>
      <c r="H24" s="108"/>
      <c r="I24" s="108"/>
      <c r="J24" s="108"/>
      <c r="K24" s="108"/>
      <c r="L24" s="108"/>
      <c r="M24" s="108"/>
      <c r="N24" s="108"/>
      <c r="O24" s="108"/>
      <c r="P24" s="108"/>
      <c r="Q24" s="108"/>
      <c r="R24" s="108"/>
      <c r="S24" s="108"/>
      <c r="T24" s="108"/>
      <c r="U24" s="165"/>
    </row>
    <row r="25" spans="2:21" ht="12" customHeight="1">
      <c r="D25" s="108"/>
      <c r="E25" s="108"/>
      <c r="F25" s="108"/>
      <c r="G25" s="108"/>
      <c r="H25" s="108"/>
      <c r="I25" s="108"/>
      <c r="J25" s="108"/>
      <c r="K25" s="108"/>
      <c r="L25" s="108"/>
      <c r="M25" s="108"/>
      <c r="N25" s="108"/>
      <c r="O25" s="108"/>
      <c r="P25" s="108"/>
      <c r="Q25" s="108"/>
      <c r="R25" s="108"/>
      <c r="S25" s="108"/>
      <c r="T25" s="108"/>
      <c r="U25" s="165"/>
    </row>
    <row r="26" spans="2:21" ht="12" customHeight="1">
      <c r="D26" s="108"/>
      <c r="E26" s="108"/>
      <c r="F26" s="108"/>
      <c r="G26" s="108"/>
      <c r="H26" s="108"/>
      <c r="I26" s="108"/>
      <c r="J26" s="108"/>
      <c r="K26" s="108"/>
      <c r="L26" s="108"/>
      <c r="M26" s="108"/>
      <c r="N26" s="108"/>
      <c r="O26" s="108"/>
      <c r="P26" s="108"/>
      <c r="Q26" s="108"/>
      <c r="R26" s="108"/>
      <c r="S26" s="108"/>
      <c r="T26" s="108"/>
      <c r="U26" s="165"/>
    </row>
    <row r="27" spans="2:21" ht="12" customHeight="1">
      <c r="D27" s="108"/>
      <c r="E27" s="108"/>
      <c r="F27" s="108"/>
      <c r="G27" s="108"/>
      <c r="H27" s="108"/>
      <c r="I27" s="108"/>
      <c r="J27" s="108"/>
      <c r="K27" s="108"/>
      <c r="L27" s="108"/>
      <c r="M27" s="108"/>
      <c r="N27" s="108"/>
      <c r="O27" s="108"/>
      <c r="P27" s="108"/>
      <c r="Q27" s="108"/>
      <c r="R27" s="108"/>
      <c r="S27" s="108"/>
      <c r="T27" s="108"/>
      <c r="U27" s="165"/>
    </row>
    <row r="28" spans="2:21" ht="12" customHeight="1">
      <c r="D28" s="108"/>
      <c r="E28" s="108"/>
      <c r="F28" s="108"/>
      <c r="G28" s="108"/>
      <c r="H28" s="108"/>
      <c r="I28" s="108"/>
      <c r="J28" s="108"/>
      <c r="K28" s="108"/>
      <c r="L28" s="108"/>
      <c r="M28" s="108"/>
      <c r="N28" s="108"/>
      <c r="O28" s="108"/>
      <c r="P28" s="108"/>
      <c r="Q28" s="108"/>
      <c r="R28" s="108"/>
      <c r="S28" s="108"/>
      <c r="T28" s="108"/>
      <c r="U28" s="165"/>
    </row>
    <row r="29" spans="2:21" ht="12" customHeight="1">
      <c r="D29" s="108"/>
      <c r="E29" s="108"/>
      <c r="F29" s="108"/>
      <c r="G29" s="108"/>
      <c r="H29" s="108"/>
      <c r="I29" s="108"/>
      <c r="J29" s="108"/>
      <c r="K29" s="108"/>
      <c r="L29" s="108"/>
      <c r="M29" s="108"/>
      <c r="N29" s="108"/>
      <c r="O29" s="108"/>
      <c r="P29" s="108"/>
      <c r="Q29" s="108"/>
      <c r="R29" s="108"/>
      <c r="S29" s="108"/>
      <c r="T29" s="108"/>
      <c r="U29" s="165"/>
    </row>
    <row r="30" spans="2:21" ht="12" customHeight="1">
      <c r="D30" s="108"/>
      <c r="E30" s="108"/>
      <c r="F30" s="108"/>
      <c r="G30" s="108"/>
      <c r="H30" s="108"/>
      <c r="I30" s="108"/>
      <c r="J30" s="108"/>
      <c r="K30" s="108"/>
      <c r="L30" s="108"/>
      <c r="M30" s="108"/>
      <c r="N30" s="108"/>
      <c r="O30" s="108"/>
      <c r="P30" s="108"/>
      <c r="Q30" s="108"/>
      <c r="R30" s="108"/>
      <c r="S30" s="108"/>
      <c r="T30" s="108"/>
      <c r="U30" s="165"/>
    </row>
    <row r="31" spans="2:21" ht="12" customHeight="1">
      <c r="D31" s="108"/>
      <c r="E31" s="108"/>
      <c r="F31" s="108"/>
      <c r="G31" s="108"/>
      <c r="H31" s="108"/>
      <c r="I31" s="108"/>
      <c r="J31" s="108"/>
      <c r="K31" s="108"/>
      <c r="L31" s="108"/>
      <c r="M31" s="108"/>
      <c r="N31" s="108"/>
      <c r="O31" s="108"/>
      <c r="P31" s="108"/>
      <c r="Q31" s="108"/>
      <c r="R31" s="108"/>
      <c r="S31" s="108"/>
      <c r="T31" s="108"/>
      <c r="U31" s="165"/>
    </row>
    <row r="32" spans="2:21" ht="12" customHeight="1">
      <c r="D32" s="108"/>
      <c r="E32" s="108"/>
      <c r="F32" s="108"/>
      <c r="G32" s="108"/>
      <c r="H32" s="108"/>
      <c r="I32" s="108"/>
      <c r="J32" s="108"/>
      <c r="K32" s="108"/>
      <c r="L32" s="108"/>
      <c r="M32" s="108"/>
      <c r="N32" s="108"/>
      <c r="O32" s="108"/>
      <c r="P32" s="108"/>
      <c r="Q32" s="108"/>
      <c r="R32" s="108"/>
      <c r="S32" s="108"/>
      <c r="T32" s="108"/>
      <c r="U32" s="165"/>
    </row>
    <row r="33" spans="4:21" ht="70.150000000000006" customHeight="1">
      <c r="D33" s="108"/>
      <c r="E33" s="108"/>
      <c r="F33" s="179"/>
      <c r="G33" s="179"/>
      <c r="H33" s="179"/>
      <c r="I33" s="179"/>
      <c r="J33" s="179"/>
      <c r="K33" s="180"/>
      <c r="L33" s="108"/>
      <c r="M33" s="108"/>
      <c r="N33" s="108"/>
      <c r="O33" s="108"/>
      <c r="P33" s="108"/>
      <c r="Q33" s="108"/>
      <c r="R33" s="108"/>
      <c r="S33" s="108"/>
      <c r="T33" s="108"/>
      <c r="U33" s="165"/>
    </row>
    <row r="34" spans="4:21" ht="12" customHeight="1">
      <c r="D34" s="108"/>
      <c r="E34" s="108"/>
      <c r="F34" s="108"/>
      <c r="G34" s="108"/>
      <c r="H34" s="108"/>
      <c r="I34" s="108"/>
      <c r="J34" s="108"/>
      <c r="K34" s="108"/>
      <c r="L34" s="108"/>
      <c r="M34" s="108"/>
      <c r="N34" s="108"/>
      <c r="O34" s="108"/>
      <c r="P34" s="108"/>
      <c r="Q34" s="108"/>
      <c r="R34" s="108"/>
      <c r="S34" s="108"/>
      <c r="T34" s="108"/>
      <c r="U34" s="165"/>
    </row>
    <row r="35" spans="4:21" ht="12" customHeight="1">
      <c r="D35" s="108"/>
      <c r="E35" s="108"/>
      <c r="F35" s="108"/>
      <c r="G35" s="108"/>
      <c r="H35" s="108"/>
      <c r="I35" s="108"/>
      <c r="J35" s="108"/>
      <c r="K35" s="108"/>
      <c r="L35" s="108"/>
      <c r="M35" s="108"/>
      <c r="N35" s="108"/>
      <c r="O35" s="108"/>
      <c r="P35" s="108"/>
      <c r="Q35" s="108"/>
      <c r="R35" s="108"/>
      <c r="S35" s="108"/>
      <c r="T35" s="108"/>
      <c r="U35" s="165"/>
    </row>
    <row r="36" spans="4:21" ht="12" customHeight="1">
      <c r="D36" s="108"/>
      <c r="E36" s="108"/>
      <c r="F36" s="108"/>
      <c r="G36" s="108"/>
      <c r="H36" s="108"/>
      <c r="I36" s="108"/>
      <c r="J36" s="108"/>
      <c r="K36" s="108"/>
      <c r="L36" s="108"/>
      <c r="M36" s="108"/>
      <c r="N36" s="108"/>
      <c r="O36" s="108"/>
      <c r="P36" s="108"/>
      <c r="Q36" s="108"/>
      <c r="R36" s="108"/>
      <c r="S36" s="108"/>
      <c r="T36" s="108"/>
      <c r="U36" s="165"/>
    </row>
    <row r="37" spans="4:21" ht="12" customHeight="1">
      <c r="D37" s="108"/>
      <c r="E37" s="108"/>
      <c r="F37" s="108"/>
      <c r="G37" s="108"/>
      <c r="H37" s="108"/>
      <c r="I37" s="108"/>
      <c r="J37" s="108"/>
      <c r="K37" s="108"/>
      <c r="L37" s="108"/>
      <c r="M37" s="108"/>
      <c r="N37" s="108"/>
      <c r="O37" s="108"/>
      <c r="P37" s="108"/>
      <c r="Q37" s="108"/>
      <c r="R37" s="108"/>
      <c r="S37" s="108"/>
      <c r="T37" s="108"/>
      <c r="U37" s="165"/>
    </row>
    <row r="38" spans="4:21" ht="12" customHeight="1">
      <c r="D38" s="108"/>
      <c r="E38" s="108"/>
      <c r="F38" s="108"/>
      <c r="G38" s="108"/>
      <c r="H38" s="108"/>
      <c r="I38" s="108"/>
      <c r="J38" s="108"/>
      <c r="K38" s="108"/>
      <c r="L38" s="108"/>
      <c r="M38" s="108"/>
      <c r="N38" s="108"/>
      <c r="O38" s="108"/>
      <c r="P38" s="108"/>
      <c r="Q38" s="108"/>
      <c r="R38" s="108"/>
      <c r="S38" s="108"/>
      <c r="T38" s="108"/>
      <c r="U38" s="165"/>
    </row>
    <row r="39" spans="4:21" ht="12" customHeight="1">
      <c r="D39" s="108"/>
      <c r="E39" s="108"/>
      <c r="F39" s="108"/>
      <c r="G39" s="108"/>
      <c r="H39" s="108"/>
      <c r="I39" s="108"/>
      <c r="J39" s="108"/>
      <c r="K39" s="108"/>
      <c r="L39" s="108"/>
      <c r="M39" s="108"/>
      <c r="N39" s="108"/>
      <c r="O39" s="108"/>
      <c r="P39" s="108"/>
      <c r="Q39" s="108"/>
      <c r="R39" s="108"/>
      <c r="S39" s="108"/>
      <c r="T39" s="108"/>
      <c r="U39" s="165"/>
    </row>
    <row r="40" spans="4:21" ht="12" customHeight="1">
      <c r="D40" s="108"/>
      <c r="E40" s="108"/>
      <c r="F40" s="108"/>
      <c r="G40" s="108"/>
      <c r="H40" s="108"/>
      <c r="I40" s="108"/>
      <c r="J40" s="108"/>
      <c r="K40" s="108"/>
      <c r="L40" s="108"/>
      <c r="M40" s="108"/>
      <c r="N40" s="108"/>
      <c r="O40" s="108"/>
      <c r="P40" s="108"/>
      <c r="Q40" s="108"/>
      <c r="R40" s="108"/>
      <c r="S40" s="108"/>
      <c r="T40" s="108"/>
      <c r="U40" s="165"/>
    </row>
    <row r="41" spans="4:21" ht="12" customHeight="1">
      <c r="D41" s="108"/>
      <c r="E41" s="108"/>
      <c r="F41" s="108"/>
      <c r="G41" s="108"/>
      <c r="H41" s="108"/>
      <c r="I41" s="108"/>
      <c r="J41" s="108"/>
      <c r="K41" s="108"/>
      <c r="L41" s="108"/>
      <c r="M41" s="108"/>
      <c r="N41" s="108"/>
      <c r="O41" s="108"/>
      <c r="P41" s="108"/>
      <c r="Q41" s="108"/>
      <c r="R41" s="108"/>
      <c r="S41" s="108"/>
      <c r="T41" s="108"/>
      <c r="U41" s="165"/>
    </row>
    <row r="42" spans="4:21" ht="12" customHeight="1">
      <c r="D42" s="108"/>
      <c r="E42" s="108"/>
      <c r="F42" s="108"/>
      <c r="G42" s="108"/>
      <c r="H42" s="108"/>
      <c r="I42" s="108"/>
      <c r="J42" s="108"/>
      <c r="K42" s="108"/>
      <c r="L42" s="108"/>
      <c r="M42" s="108"/>
      <c r="N42" s="108"/>
      <c r="O42" s="108"/>
      <c r="P42" s="108"/>
      <c r="Q42" s="108"/>
      <c r="R42" s="108"/>
      <c r="S42" s="108"/>
      <c r="T42" s="108"/>
      <c r="U42" s="165"/>
    </row>
    <row r="43" spans="4:21" ht="12" customHeight="1">
      <c r="D43" s="108"/>
      <c r="E43" s="108"/>
      <c r="F43" s="108"/>
      <c r="G43" s="108"/>
      <c r="H43" s="108"/>
      <c r="I43" s="108"/>
      <c r="J43" s="108"/>
      <c r="K43" s="108"/>
      <c r="L43" s="108"/>
      <c r="M43" s="108"/>
      <c r="N43" s="108"/>
      <c r="O43" s="108"/>
      <c r="P43" s="108"/>
      <c r="Q43" s="108"/>
      <c r="R43" s="108"/>
      <c r="S43" s="108"/>
      <c r="T43" s="108"/>
      <c r="U43" s="165"/>
    </row>
    <row r="44" spans="4:21" ht="12" customHeight="1">
      <c r="D44" s="108"/>
      <c r="E44" s="108"/>
      <c r="F44" s="108"/>
      <c r="G44" s="108"/>
      <c r="H44" s="108"/>
      <c r="I44" s="108"/>
      <c r="J44" s="108"/>
      <c r="K44" s="108"/>
      <c r="L44" s="108"/>
      <c r="M44" s="108"/>
      <c r="N44" s="108"/>
      <c r="O44" s="108"/>
      <c r="P44" s="108"/>
      <c r="Q44" s="108"/>
      <c r="R44" s="108"/>
      <c r="S44" s="108"/>
      <c r="T44" s="108"/>
      <c r="U44" s="165"/>
    </row>
    <row r="45" spans="4:21" ht="12" customHeight="1">
      <c r="D45" s="108"/>
      <c r="E45" s="108"/>
      <c r="F45" s="108"/>
      <c r="G45" s="108"/>
      <c r="H45" s="108"/>
      <c r="I45" s="108"/>
      <c r="J45" s="108"/>
      <c r="K45" s="108"/>
      <c r="L45" s="108"/>
      <c r="M45" s="108"/>
      <c r="N45" s="108"/>
      <c r="O45" s="108"/>
      <c r="P45" s="108"/>
      <c r="Q45" s="108"/>
      <c r="R45" s="108"/>
      <c r="S45" s="108"/>
      <c r="T45" s="108"/>
      <c r="U45" s="165"/>
    </row>
    <row r="46" spans="4:21" ht="12" customHeight="1">
      <c r="D46" s="108"/>
      <c r="E46" s="108"/>
      <c r="F46" s="108"/>
      <c r="G46" s="108"/>
      <c r="H46" s="108"/>
      <c r="I46" s="108"/>
      <c r="J46" s="108"/>
      <c r="K46" s="108"/>
      <c r="L46" s="108"/>
      <c r="M46" s="108"/>
      <c r="N46" s="108"/>
      <c r="O46" s="108"/>
      <c r="P46" s="108"/>
      <c r="Q46" s="108"/>
      <c r="R46" s="108"/>
      <c r="S46" s="108"/>
      <c r="T46" s="108"/>
      <c r="U46" s="165"/>
    </row>
    <row r="47" spans="4:21" ht="12" customHeight="1">
      <c r="D47" s="108"/>
      <c r="E47" s="108"/>
      <c r="F47" s="108"/>
      <c r="G47" s="108"/>
      <c r="H47" s="108"/>
      <c r="I47" s="108"/>
      <c r="J47" s="108"/>
      <c r="K47" s="108"/>
      <c r="L47" s="108"/>
      <c r="M47" s="108"/>
      <c r="N47" s="108"/>
      <c r="O47" s="108"/>
      <c r="P47" s="108"/>
      <c r="Q47" s="108"/>
      <c r="R47" s="108"/>
      <c r="S47" s="108"/>
      <c r="T47" s="108"/>
      <c r="U47" s="165"/>
    </row>
    <row r="48" spans="4:21" ht="12" customHeight="1">
      <c r="D48" s="108"/>
      <c r="E48" s="108"/>
      <c r="F48" s="108"/>
      <c r="G48" s="108"/>
      <c r="H48" s="108"/>
      <c r="I48" s="108"/>
      <c r="J48" s="108"/>
      <c r="K48" s="108"/>
      <c r="L48" s="108"/>
      <c r="M48" s="108"/>
      <c r="N48" s="108"/>
      <c r="O48" s="108"/>
      <c r="P48" s="108"/>
      <c r="Q48" s="108"/>
      <c r="R48" s="108"/>
      <c r="S48" s="108"/>
      <c r="T48" s="108"/>
      <c r="U48" s="165"/>
    </row>
    <row r="49" spans="4:21" ht="12" customHeight="1">
      <c r="D49" s="108"/>
      <c r="E49" s="108"/>
      <c r="F49" s="108"/>
      <c r="G49" s="108"/>
      <c r="H49" s="108"/>
      <c r="I49" s="108"/>
      <c r="J49" s="108"/>
      <c r="K49" s="108"/>
      <c r="L49" s="108"/>
      <c r="M49" s="108"/>
      <c r="N49" s="108"/>
      <c r="O49" s="108"/>
      <c r="P49" s="108"/>
      <c r="Q49" s="108"/>
      <c r="R49" s="108"/>
      <c r="S49" s="108"/>
      <c r="T49" s="108"/>
      <c r="U49" s="165"/>
    </row>
    <row r="50" spans="4:21" ht="12" customHeight="1">
      <c r="D50" s="108"/>
      <c r="E50" s="108"/>
      <c r="F50" s="108"/>
      <c r="G50" s="108"/>
      <c r="H50" s="108"/>
      <c r="I50" s="108"/>
      <c r="J50" s="108"/>
      <c r="K50" s="108"/>
      <c r="L50" s="108"/>
      <c r="M50" s="108"/>
      <c r="N50" s="108"/>
      <c r="O50" s="108"/>
      <c r="P50" s="108"/>
      <c r="Q50" s="108"/>
      <c r="R50" s="108"/>
      <c r="S50" s="108"/>
      <c r="T50" s="108"/>
      <c r="U50" s="165"/>
    </row>
    <row r="51" spans="4:21" ht="12" customHeight="1">
      <c r="D51" s="108"/>
      <c r="E51" s="108"/>
      <c r="F51" s="108"/>
      <c r="G51" s="108"/>
      <c r="H51" s="108"/>
      <c r="I51" s="108"/>
      <c r="J51" s="108"/>
      <c r="K51" s="108"/>
      <c r="L51" s="108"/>
      <c r="M51" s="108"/>
      <c r="N51" s="108"/>
      <c r="O51" s="108"/>
      <c r="P51" s="108"/>
      <c r="Q51" s="108"/>
      <c r="R51" s="108"/>
      <c r="S51" s="108"/>
      <c r="T51" s="108"/>
      <c r="U51" s="165"/>
    </row>
    <row r="52" spans="4:21" ht="12" customHeight="1">
      <c r="D52" s="108"/>
      <c r="E52" s="108"/>
      <c r="F52" s="108"/>
      <c r="G52" s="108"/>
      <c r="H52" s="108"/>
      <c r="I52" s="108"/>
      <c r="J52" s="108"/>
      <c r="K52" s="108"/>
      <c r="L52" s="108"/>
      <c r="M52" s="108"/>
      <c r="N52" s="108"/>
      <c r="O52" s="108"/>
      <c r="P52" s="108"/>
      <c r="Q52" s="108"/>
      <c r="R52" s="108"/>
      <c r="S52" s="108"/>
      <c r="T52" s="108"/>
      <c r="U52" s="165"/>
    </row>
    <row r="53" spans="4:21" ht="12" customHeight="1">
      <c r="D53" s="108"/>
      <c r="E53" s="108"/>
      <c r="F53" s="108"/>
      <c r="G53" s="108"/>
      <c r="H53" s="108"/>
      <c r="I53" s="108"/>
      <c r="J53" s="108"/>
      <c r="K53" s="108"/>
      <c r="L53" s="108"/>
      <c r="M53" s="108"/>
      <c r="N53" s="108"/>
      <c r="O53" s="108"/>
      <c r="P53" s="108"/>
      <c r="Q53" s="108"/>
      <c r="R53" s="108"/>
      <c r="S53" s="108"/>
      <c r="T53" s="108"/>
      <c r="U53" s="165"/>
    </row>
    <row r="54" spans="4:21" ht="12" customHeight="1">
      <c r="D54" s="108"/>
      <c r="E54" s="108"/>
      <c r="F54" s="108"/>
      <c r="G54" s="108"/>
      <c r="H54" s="108"/>
      <c r="I54" s="108"/>
      <c r="J54" s="108"/>
      <c r="K54" s="108"/>
      <c r="L54" s="108"/>
      <c r="M54" s="108"/>
      <c r="N54" s="108"/>
      <c r="O54" s="108"/>
      <c r="P54" s="108"/>
      <c r="Q54" s="108"/>
      <c r="R54" s="108"/>
      <c r="S54" s="108"/>
      <c r="T54" s="108"/>
      <c r="U54" s="165"/>
    </row>
    <row r="55" spans="4:21" ht="12" customHeight="1">
      <c r="D55" s="108"/>
      <c r="E55" s="108"/>
      <c r="F55" s="108"/>
      <c r="G55" s="108"/>
      <c r="H55" s="108"/>
      <c r="I55" s="108"/>
      <c r="J55" s="108"/>
      <c r="K55" s="108"/>
      <c r="L55" s="108"/>
      <c r="M55" s="108"/>
      <c r="N55" s="108"/>
      <c r="O55" s="108"/>
      <c r="P55" s="108"/>
      <c r="Q55" s="108"/>
      <c r="R55" s="108"/>
      <c r="S55" s="108"/>
      <c r="T55" s="108"/>
      <c r="U55" s="165"/>
    </row>
    <row r="56" spans="4:21" ht="12" customHeight="1">
      <c r="D56" s="108"/>
      <c r="E56" s="108"/>
      <c r="F56" s="108"/>
      <c r="G56" s="108"/>
      <c r="H56" s="108"/>
      <c r="I56" s="108"/>
      <c r="J56" s="108"/>
      <c r="K56" s="108"/>
      <c r="L56" s="108"/>
      <c r="M56" s="108"/>
      <c r="N56" s="108"/>
      <c r="O56" s="108"/>
      <c r="P56" s="108"/>
      <c r="Q56" s="108"/>
      <c r="R56" s="108"/>
      <c r="S56" s="108"/>
      <c r="T56" s="108"/>
      <c r="U56" s="165"/>
    </row>
    <row r="57" spans="4:21" ht="12" customHeight="1">
      <c r="D57" s="108"/>
      <c r="E57" s="108"/>
      <c r="F57" s="108"/>
      <c r="G57" s="108"/>
      <c r="H57" s="108"/>
      <c r="I57" s="108"/>
      <c r="J57" s="108"/>
      <c r="K57" s="108"/>
      <c r="L57" s="108"/>
      <c r="M57" s="108"/>
      <c r="N57" s="108"/>
      <c r="O57" s="108"/>
      <c r="P57" s="108"/>
      <c r="Q57" s="108"/>
      <c r="R57" s="108"/>
      <c r="S57" s="108"/>
      <c r="T57" s="108"/>
      <c r="U57" s="165"/>
    </row>
    <row r="58" spans="4:21" ht="12" customHeight="1">
      <c r="D58" s="108"/>
      <c r="E58" s="108"/>
      <c r="F58" s="108"/>
      <c r="G58" s="108"/>
      <c r="H58" s="108"/>
      <c r="I58" s="108"/>
      <c r="J58" s="108"/>
      <c r="K58" s="108"/>
      <c r="L58" s="108"/>
      <c r="M58" s="108"/>
      <c r="N58" s="108"/>
      <c r="O58" s="108"/>
      <c r="P58" s="108"/>
      <c r="Q58" s="108"/>
      <c r="R58" s="108"/>
      <c r="S58" s="108"/>
      <c r="T58" s="108"/>
      <c r="U58" s="165"/>
    </row>
    <row r="59" spans="4:21">
      <c r="D59" s="108"/>
      <c r="E59" s="108"/>
      <c r="F59" s="108"/>
      <c r="G59" s="108"/>
      <c r="H59" s="108"/>
      <c r="I59" s="108"/>
      <c r="J59" s="108"/>
      <c r="K59" s="108"/>
      <c r="L59" s="108"/>
      <c r="M59" s="108"/>
      <c r="N59" s="108"/>
      <c r="O59" s="108"/>
      <c r="P59" s="108"/>
      <c r="Q59" s="108"/>
      <c r="R59" s="108"/>
      <c r="S59" s="108"/>
      <c r="T59" s="108"/>
      <c r="U59" s="165"/>
    </row>
    <row r="60" spans="4:21">
      <c r="D60" s="108"/>
      <c r="E60" s="108"/>
      <c r="F60" s="108"/>
      <c r="G60" s="108"/>
      <c r="H60" s="108"/>
      <c r="I60" s="108"/>
      <c r="J60" s="108"/>
      <c r="K60" s="108"/>
      <c r="L60" s="108"/>
      <c r="M60" s="108"/>
      <c r="N60" s="108"/>
      <c r="O60" s="108"/>
      <c r="P60" s="108"/>
      <c r="Q60" s="108"/>
      <c r="R60" s="108"/>
      <c r="S60" s="108"/>
      <c r="T60" s="108"/>
      <c r="U60" s="165"/>
    </row>
    <row r="61" spans="4:21" ht="45" customHeight="1">
      <c r="D61" s="108"/>
      <c r="E61" s="108"/>
      <c r="F61" s="108"/>
      <c r="G61" s="108"/>
      <c r="H61" s="108"/>
      <c r="I61" s="108"/>
      <c r="J61" s="108"/>
      <c r="K61" s="108"/>
      <c r="L61" s="108"/>
      <c r="M61" s="108"/>
      <c r="N61" s="108"/>
      <c r="O61" s="108"/>
      <c r="P61" s="108"/>
      <c r="Q61" s="108"/>
      <c r="R61" s="108"/>
      <c r="S61" s="108"/>
      <c r="T61" s="108"/>
      <c r="U61" s="181"/>
    </row>
  </sheetData>
  <mergeCells count="4">
    <mergeCell ref="B1:T1"/>
    <mergeCell ref="D17:L17"/>
    <mergeCell ref="D22:T22"/>
    <mergeCell ref="P17:R17"/>
  </mergeCells>
  <pageMargins left="0.25" right="0.25" top="0.75" bottom="0.75" header="0.3" footer="0.3"/>
  <pageSetup paperSize="17" scale="2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0"/>
  <sheetViews>
    <sheetView workbookViewId="0"/>
  </sheetViews>
  <sheetFormatPr defaultRowHeight="15"/>
  <cols>
    <col min="1" max="1" width="19.85546875" customWidth="1"/>
    <col min="2" max="2" width="21.28515625" customWidth="1"/>
    <col min="3" max="3" width="47.42578125" customWidth="1"/>
    <col min="4" max="5" width="30.7109375" customWidth="1"/>
    <col min="6" max="6" width="31.28515625" customWidth="1"/>
    <col min="7" max="15" width="30.7109375" customWidth="1"/>
  </cols>
  <sheetData>
    <row r="1" spans="1:15">
      <c r="A1" s="3"/>
      <c r="B1" s="3"/>
      <c r="C1" s="8"/>
      <c r="D1" s="51" t="s">
        <v>53</v>
      </c>
      <c r="E1" s="62" t="s">
        <v>54</v>
      </c>
      <c r="F1" s="60" t="s">
        <v>57</v>
      </c>
      <c r="G1" s="50" t="s">
        <v>58</v>
      </c>
      <c r="H1" s="63" t="s">
        <v>62</v>
      </c>
      <c r="I1" s="45" t="s">
        <v>61</v>
      </c>
      <c r="J1" s="44" t="s">
        <v>71</v>
      </c>
      <c r="K1" s="45" t="s">
        <v>70</v>
      </c>
      <c r="L1" s="44" t="s">
        <v>69</v>
      </c>
      <c r="M1" s="45" t="s">
        <v>68</v>
      </c>
      <c r="N1" s="63" t="s">
        <v>72</v>
      </c>
      <c r="O1" s="45" t="s">
        <v>73</v>
      </c>
    </row>
    <row r="2" spans="1:15" ht="45" customHeight="1">
      <c r="A2" s="4" t="s">
        <v>0</v>
      </c>
      <c r="B2" s="15" t="s">
        <v>1</v>
      </c>
      <c r="C2" s="57" t="s">
        <v>2</v>
      </c>
      <c r="D2" s="4" t="s">
        <v>55</v>
      </c>
      <c r="E2" s="17" t="s">
        <v>56</v>
      </c>
      <c r="F2" s="61" t="s">
        <v>59</v>
      </c>
      <c r="G2" s="17" t="s">
        <v>74</v>
      </c>
      <c r="H2" s="64" t="s">
        <v>63</v>
      </c>
      <c r="I2" s="17" t="s">
        <v>60</v>
      </c>
      <c r="J2" s="16" t="s">
        <v>64</v>
      </c>
      <c r="K2" s="46" t="s">
        <v>65</v>
      </c>
      <c r="L2" s="59" t="s">
        <v>66</v>
      </c>
      <c r="M2" s="17" t="s">
        <v>67</v>
      </c>
      <c r="N2" s="64" t="s">
        <v>75</v>
      </c>
      <c r="O2" s="17" t="s">
        <v>75</v>
      </c>
    </row>
    <row r="3" spans="1:15" ht="15" customHeight="1">
      <c r="A3" s="379" t="s">
        <v>6</v>
      </c>
      <c r="B3" s="376"/>
      <c r="C3" s="6"/>
      <c r="D3" s="55"/>
      <c r="E3" s="56"/>
      <c r="F3" s="7"/>
      <c r="G3" s="56"/>
      <c r="H3" s="65"/>
      <c r="I3" s="9"/>
      <c r="J3" s="5"/>
      <c r="K3" s="10"/>
      <c r="L3" s="7"/>
      <c r="M3" s="10"/>
      <c r="N3" s="7"/>
      <c r="O3" s="10"/>
    </row>
    <row r="4" spans="1:15">
      <c r="A4" s="380"/>
      <c r="B4" s="377"/>
      <c r="C4" s="6"/>
      <c r="D4" s="5"/>
      <c r="E4" s="10"/>
      <c r="F4" s="7"/>
      <c r="G4" s="9"/>
      <c r="H4" s="26"/>
      <c r="I4" s="9"/>
      <c r="J4" s="5"/>
      <c r="K4" s="10"/>
      <c r="L4" s="7"/>
      <c r="M4" s="10"/>
      <c r="N4" s="7"/>
      <c r="O4" s="10"/>
    </row>
    <row r="5" spans="1:15">
      <c r="A5" s="381"/>
      <c r="B5" s="378"/>
      <c r="C5" s="23"/>
      <c r="D5" s="22"/>
      <c r="E5" s="25"/>
      <c r="F5" s="39"/>
      <c r="G5" s="25"/>
      <c r="H5" s="39"/>
      <c r="I5" s="25"/>
      <c r="J5" s="22"/>
      <c r="K5" s="25"/>
      <c r="L5" s="39"/>
      <c r="M5" s="25"/>
      <c r="N5" s="39"/>
      <c r="O5" s="25"/>
    </row>
    <row r="6" spans="1:15">
      <c r="A6" s="379" t="s">
        <v>5</v>
      </c>
      <c r="B6" s="376"/>
      <c r="C6" s="6"/>
      <c r="D6" s="5"/>
      <c r="E6" s="10"/>
      <c r="F6" s="7"/>
      <c r="G6" s="10"/>
      <c r="H6" s="7"/>
      <c r="I6" s="10"/>
      <c r="J6" s="5"/>
      <c r="K6" s="10"/>
      <c r="L6" s="7"/>
      <c r="M6" s="10"/>
      <c r="N6" s="7"/>
      <c r="O6" s="10"/>
    </row>
    <row r="7" spans="1:15">
      <c r="A7" s="380"/>
      <c r="B7" s="377"/>
      <c r="C7" s="6"/>
      <c r="D7" s="5"/>
      <c r="E7" s="10"/>
      <c r="F7" s="7"/>
      <c r="G7" s="10"/>
      <c r="H7" s="7"/>
      <c r="I7" s="10"/>
      <c r="J7" s="5"/>
      <c r="K7" s="10"/>
      <c r="L7" s="7"/>
      <c r="M7" s="10"/>
      <c r="N7" s="7"/>
      <c r="O7" s="10"/>
    </row>
    <row r="8" spans="1:15">
      <c r="A8" s="381"/>
      <c r="B8" s="378"/>
      <c r="C8" s="23"/>
      <c r="D8" s="22"/>
      <c r="E8" s="25"/>
      <c r="F8" s="39"/>
      <c r="G8" s="25"/>
      <c r="H8" s="39"/>
      <c r="I8" s="25"/>
      <c r="J8" s="22"/>
      <c r="K8" s="25"/>
      <c r="L8" s="39"/>
      <c r="M8" s="25"/>
      <c r="N8" s="39"/>
      <c r="O8" s="25"/>
    </row>
    <row r="9" spans="1:15" ht="15" customHeight="1">
      <c r="A9" s="379" t="s">
        <v>4</v>
      </c>
      <c r="B9" s="376"/>
      <c r="C9" s="6" t="s">
        <v>30</v>
      </c>
      <c r="D9" s="5"/>
      <c r="E9" s="10"/>
      <c r="F9" s="7"/>
      <c r="G9" s="10"/>
      <c r="H9" s="7"/>
      <c r="I9" s="10"/>
      <c r="J9" s="5"/>
      <c r="K9" s="10"/>
      <c r="L9" s="7"/>
      <c r="M9" s="10"/>
      <c r="N9" s="7"/>
      <c r="O9" s="10"/>
    </row>
    <row r="10" spans="1:15">
      <c r="A10" s="381"/>
      <c r="B10" s="378"/>
      <c r="C10" s="23"/>
      <c r="D10" s="22"/>
      <c r="E10" s="25"/>
      <c r="F10" s="39"/>
      <c r="G10" s="25"/>
      <c r="H10" s="39"/>
      <c r="I10" s="25"/>
      <c r="J10" s="22"/>
      <c r="K10" s="25"/>
      <c r="L10" s="39"/>
      <c r="M10" s="25"/>
      <c r="N10" s="39"/>
      <c r="O10" s="25"/>
    </row>
    <row r="11" spans="1:15" ht="45.75" customHeight="1">
      <c r="A11" s="379" t="s">
        <v>3</v>
      </c>
      <c r="B11" s="376"/>
      <c r="C11" s="19" t="s">
        <v>23</v>
      </c>
      <c r="D11" s="5"/>
      <c r="E11" s="10"/>
      <c r="F11" s="43"/>
      <c r="G11" s="9"/>
      <c r="H11" s="7"/>
      <c r="I11" s="10"/>
      <c r="J11" s="5"/>
      <c r="K11" s="10"/>
      <c r="L11" s="7"/>
      <c r="M11" s="10"/>
      <c r="N11" s="7"/>
      <c r="O11" s="10"/>
    </row>
    <row r="12" spans="1:15" ht="29.25" customHeight="1">
      <c r="A12" s="380"/>
      <c r="B12" s="377"/>
      <c r="C12" s="19" t="s">
        <v>24</v>
      </c>
      <c r="D12" s="5"/>
      <c r="E12" s="10"/>
      <c r="F12" s="7"/>
      <c r="G12" s="10"/>
      <c r="H12" s="7"/>
      <c r="I12" s="10"/>
      <c r="J12" s="5"/>
      <c r="K12" s="10"/>
      <c r="L12" s="7"/>
      <c r="M12" s="10"/>
      <c r="N12" s="7"/>
      <c r="O12" s="10"/>
    </row>
    <row r="13" spans="1:15" ht="30.75" customHeight="1">
      <c r="A13" s="380"/>
      <c r="B13" s="377"/>
      <c r="C13" s="19" t="s">
        <v>25</v>
      </c>
      <c r="D13" s="5"/>
      <c r="E13" s="10"/>
      <c r="F13" s="7"/>
      <c r="G13" s="10"/>
      <c r="H13" s="7"/>
      <c r="I13" s="10"/>
      <c r="J13" s="5"/>
      <c r="K13" s="10"/>
      <c r="L13" s="7"/>
      <c r="M13" s="10"/>
      <c r="N13" s="7"/>
      <c r="O13" s="10"/>
    </row>
    <row r="14" spans="1:15" ht="30.75" customHeight="1">
      <c r="A14" s="380"/>
      <c r="B14" s="377"/>
      <c r="C14" s="19" t="s">
        <v>26</v>
      </c>
      <c r="D14" s="5"/>
      <c r="E14" s="10"/>
      <c r="F14" s="7"/>
      <c r="G14" s="10"/>
      <c r="H14" s="7"/>
      <c r="I14" s="10"/>
      <c r="J14" s="5"/>
      <c r="K14" s="10"/>
      <c r="L14" s="7"/>
      <c r="M14" s="10"/>
      <c r="N14" s="7"/>
      <c r="O14" s="10"/>
    </row>
    <row r="15" spans="1:15" ht="15" customHeight="1">
      <c r="A15" s="380"/>
      <c r="B15" s="377"/>
      <c r="C15" s="19" t="s">
        <v>27</v>
      </c>
      <c r="D15" s="5"/>
      <c r="E15" s="10"/>
      <c r="F15" s="7"/>
      <c r="G15" s="10"/>
      <c r="H15" s="7"/>
      <c r="I15" s="10"/>
      <c r="J15" s="5"/>
      <c r="K15" s="10"/>
      <c r="L15" s="7"/>
      <c r="M15" s="10"/>
      <c r="N15" s="7"/>
      <c r="O15" s="10"/>
    </row>
    <row r="16" spans="1:15" ht="15" customHeight="1">
      <c r="A16" s="381"/>
      <c r="B16" s="378"/>
      <c r="C16" s="21"/>
      <c r="D16" s="22"/>
      <c r="E16" s="25"/>
      <c r="F16" s="39"/>
      <c r="G16" s="25"/>
      <c r="H16" s="39"/>
      <c r="I16" s="25"/>
      <c r="J16" s="22"/>
      <c r="K16" s="25"/>
      <c r="L16" s="39"/>
      <c r="M16" s="25"/>
      <c r="N16" s="39"/>
      <c r="O16" s="25"/>
    </row>
    <row r="17" spans="1:15" s="1" customFormat="1" ht="30.75" customHeight="1">
      <c r="A17" s="379" t="s">
        <v>7</v>
      </c>
      <c r="B17" s="382"/>
      <c r="C17" s="19" t="s">
        <v>28</v>
      </c>
      <c r="D17" s="24"/>
      <c r="E17" s="27"/>
      <c r="F17" s="58"/>
      <c r="G17" s="27"/>
      <c r="H17" s="58"/>
      <c r="I17" s="27"/>
      <c r="J17" s="24"/>
      <c r="K17" s="27"/>
      <c r="L17" s="58"/>
      <c r="M17" s="27"/>
      <c r="N17" s="58"/>
      <c r="O17" s="27"/>
    </row>
    <row r="18" spans="1:15" ht="30.75" customHeight="1">
      <c r="A18" s="380"/>
      <c r="B18" s="383"/>
      <c r="C18" s="19" t="s">
        <v>29</v>
      </c>
      <c r="D18" s="5"/>
      <c r="E18" s="10"/>
      <c r="F18" s="7"/>
      <c r="G18" s="43"/>
      <c r="H18" s="66"/>
      <c r="I18" s="10"/>
      <c r="J18" s="5"/>
      <c r="K18" s="10"/>
      <c r="L18" s="7"/>
      <c r="M18" s="10"/>
      <c r="N18" s="7"/>
      <c r="O18" s="10"/>
    </row>
    <row r="19" spans="1:15">
      <c r="A19" s="381"/>
      <c r="B19" s="384"/>
      <c r="C19" s="23"/>
      <c r="D19" s="22"/>
      <c r="E19" s="25"/>
      <c r="F19" s="39"/>
      <c r="G19" s="25"/>
      <c r="H19" s="39"/>
      <c r="I19" s="25"/>
      <c r="J19" s="22"/>
      <c r="K19" s="25"/>
      <c r="L19" s="39"/>
      <c r="M19" s="25"/>
      <c r="N19" s="39"/>
      <c r="O19" s="25"/>
    </row>
    <row r="20" spans="1:15">
      <c r="A20" s="385" t="s">
        <v>8</v>
      </c>
      <c r="B20" s="376"/>
      <c r="C20" s="6" t="s">
        <v>31</v>
      </c>
      <c r="D20" s="5"/>
      <c r="E20" s="10"/>
      <c r="F20" s="7"/>
      <c r="G20" s="10"/>
      <c r="H20" s="7"/>
      <c r="I20" s="10"/>
      <c r="J20" s="5"/>
      <c r="K20" s="10"/>
      <c r="L20" s="7"/>
      <c r="M20" s="10"/>
      <c r="N20" s="7"/>
      <c r="O20" s="10"/>
    </row>
    <row r="21" spans="1:15">
      <c r="A21" s="386"/>
      <c r="B21" s="378"/>
      <c r="C21" s="23"/>
      <c r="D21" s="22"/>
      <c r="E21" s="25"/>
      <c r="F21" s="39"/>
      <c r="G21" s="25"/>
      <c r="H21" s="39"/>
      <c r="I21" s="25"/>
      <c r="J21" s="22"/>
      <c r="K21" s="25"/>
      <c r="L21" s="39"/>
      <c r="M21" s="25"/>
      <c r="N21" s="39"/>
      <c r="O21" s="25"/>
    </row>
    <row r="22" spans="1:15">
      <c r="A22" s="385" t="s">
        <v>9</v>
      </c>
      <c r="B22" s="387"/>
      <c r="C22" s="6"/>
      <c r="D22" s="5"/>
      <c r="E22" s="10"/>
      <c r="F22" s="7"/>
      <c r="G22" s="10"/>
      <c r="H22" s="7"/>
      <c r="I22" s="10"/>
      <c r="J22" s="5"/>
      <c r="K22" s="10"/>
      <c r="L22" s="7"/>
      <c r="M22" s="10"/>
      <c r="N22" s="7"/>
      <c r="O22" s="10"/>
    </row>
    <row r="23" spans="1:15">
      <c r="A23" s="386"/>
      <c r="B23" s="388"/>
      <c r="C23" s="23"/>
      <c r="D23" s="22"/>
      <c r="E23" s="25"/>
      <c r="F23" s="39"/>
      <c r="G23" s="25"/>
      <c r="H23" s="39"/>
      <c r="I23" s="25"/>
      <c r="J23" s="22"/>
      <c r="K23" s="25"/>
      <c r="L23" s="39"/>
      <c r="M23" s="25"/>
      <c r="N23" s="39"/>
      <c r="O23" s="25"/>
    </row>
    <row r="24" spans="1:15">
      <c r="A24" s="385" t="s">
        <v>10</v>
      </c>
      <c r="B24" s="376"/>
      <c r="C24" s="6"/>
      <c r="D24" s="5"/>
      <c r="E24" s="10"/>
      <c r="F24" s="7"/>
      <c r="G24" s="10"/>
      <c r="H24" s="7"/>
      <c r="I24" s="10"/>
      <c r="J24" s="5"/>
      <c r="K24" s="10"/>
      <c r="L24" s="7"/>
      <c r="M24" s="10"/>
      <c r="N24" s="7"/>
      <c r="O24" s="10"/>
    </row>
    <row r="25" spans="1:15">
      <c r="A25" s="386"/>
      <c r="B25" s="378"/>
      <c r="C25" s="23"/>
      <c r="D25" s="22"/>
      <c r="E25" s="25"/>
      <c r="F25" s="39"/>
      <c r="G25" s="25"/>
      <c r="H25" s="39"/>
      <c r="I25" s="25"/>
      <c r="J25" s="22"/>
      <c r="K25" s="25"/>
      <c r="L25" s="39"/>
      <c r="M25" s="25"/>
      <c r="N25" s="39"/>
      <c r="O25" s="25"/>
    </row>
    <row r="26" spans="1:15">
      <c r="A26" s="385" t="s">
        <v>11</v>
      </c>
      <c r="B26" s="376"/>
      <c r="C26" s="6" t="s">
        <v>32</v>
      </c>
      <c r="D26" s="5"/>
      <c r="E26" s="10"/>
      <c r="F26" s="7"/>
      <c r="G26" s="10"/>
      <c r="H26" s="7"/>
      <c r="I26" s="10"/>
      <c r="J26" s="5"/>
      <c r="K26" s="10"/>
      <c r="L26" s="7"/>
      <c r="M26" s="10"/>
      <c r="N26" s="7"/>
      <c r="O26" s="10"/>
    </row>
    <row r="27" spans="1:15">
      <c r="A27" s="389"/>
      <c r="B27" s="377"/>
      <c r="C27" s="6" t="s">
        <v>33</v>
      </c>
      <c r="D27" s="5"/>
      <c r="E27" s="10"/>
      <c r="F27" s="7"/>
      <c r="G27" s="10"/>
      <c r="H27" s="7"/>
      <c r="I27" s="10"/>
      <c r="J27" s="5"/>
      <c r="K27" s="10"/>
      <c r="L27" s="7"/>
      <c r="M27" s="10"/>
      <c r="N27" s="7"/>
      <c r="O27" s="10"/>
    </row>
    <row r="28" spans="1:15">
      <c r="A28" s="389"/>
      <c r="B28" s="377"/>
      <c r="C28" s="6" t="s">
        <v>34</v>
      </c>
      <c r="D28" s="5"/>
      <c r="E28" s="10"/>
      <c r="F28" s="7"/>
      <c r="G28" s="10"/>
      <c r="H28" s="7"/>
      <c r="I28" s="10"/>
      <c r="J28" s="5"/>
      <c r="K28" s="10"/>
      <c r="L28" s="7"/>
      <c r="M28" s="10"/>
      <c r="N28" s="7"/>
      <c r="O28" s="10"/>
    </row>
    <row r="29" spans="1:15">
      <c r="A29" s="389"/>
      <c r="B29" s="377"/>
      <c r="C29" s="6" t="s">
        <v>35</v>
      </c>
      <c r="D29" s="5"/>
      <c r="E29" s="10"/>
      <c r="F29" s="7"/>
      <c r="G29" s="10"/>
      <c r="H29" s="7"/>
      <c r="I29" s="10"/>
      <c r="J29" s="5"/>
      <c r="K29" s="10"/>
      <c r="L29" s="7"/>
      <c r="M29" s="10"/>
      <c r="N29" s="7"/>
      <c r="O29" s="10"/>
    </row>
    <row r="30" spans="1:15">
      <c r="A30" s="389"/>
      <c r="B30" s="377"/>
      <c r="C30" s="6" t="s">
        <v>36</v>
      </c>
      <c r="D30" s="5"/>
      <c r="E30" s="10"/>
      <c r="F30" s="7"/>
      <c r="G30" s="10"/>
      <c r="H30" s="7"/>
      <c r="I30" s="10"/>
      <c r="J30" s="5"/>
      <c r="K30" s="10"/>
      <c r="L30" s="7"/>
      <c r="M30" s="10"/>
      <c r="N30" s="7"/>
      <c r="O30" s="10"/>
    </row>
    <row r="31" spans="1:15">
      <c r="A31" s="389"/>
      <c r="B31" s="377"/>
      <c r="C31" s="6" t="s">
        <v>37</v>
      </c>
      <c r="D31" s="5"/>
      <c r="E31" s="10"/>
      <c r="F31" s="7"/>
      <c r="G31" s="10"/>
      <c r="H31" s="7"/>
      <c r="I31" s="10"/>
      <c r="J31" s="5"/>
      <c r="K31" s="10"/>
      <c r="L31" s="7"/>
      <c r="M31" s="10"/>
      <c r="N31" s="7"/>
      <c r="O31" s="10"/>
    </row>
    <row r="32" spans="1:15">
      <c r="A32" s="389"/>
      <c r="B32" s="377"/>
      <c r="C32" s="6" t="s">
        <v>38</v>
      </c>
      <c r="D32" s="5"/>
      <c r="E32" s="10"/>
      <c r="F32" s="7"/>
      <c r="G32" s="10"/>
      <c r="H32" s="7"/>
      <c r="I32" s="10"/>
      <c r="J32" s="5"/>
      <c r="K32" s="10"/>
      <c r="L32" s="7"/>
      <c r="M32" s="10"/>
      <c r="N32" s="7"/>
      <c r="O32" s="10"/>
    </row>
    <row r="33" spans="1:15">
      <c r="A33" s="389"/>
      <c r="B33" s="377"/>
      <c r="C33" s="6" t="s">
        <v>39</v>
      </c>
      <c r="D33" s="5"/>
      <c r="E33" s="10"/>
      <c r="F33" s="7"/>
      <c r="G33" s="10"/>
      <c r="H33" s="7"/>
      <c r="I33" s="10"/>
      <c r="J33" s="5"/>
      <c r="K33" s="10"/>
      <c r="L33" s="7"/>
      <c r="M33" s="10"/>
      <c r="N33" s="7"/>
      <c r="O33" s="10"/>
    </row>
    <row r="34" spans="1:15">
      <c r="A34" s="386"/>
      <c r="B34" s="378"/>
      <c r="C34" s="23"/>
      <c r="D34" s="22"/>
      <c r="E34" s="25"/>
      <c r="F34" s="39"/>
      <c r="G34" s="25"/>
      <c r="H34" s="39"/>
      <c r="I34" s="25"/>
      <c r="J34" s="22"/>
      <c r="K34" s="25"/>
      <c r="L34" s="39"/>
      <c r="M34" s="25"/>
      <c r="N34" s="39"/>
      <c r="O34" s="25"/>
    </row>
    <row r="35" spans="1:15">
      <c r="A35" s="379" t="s">
        <v>12</v>
      </c>
      <c r="B35" s="376"/>
      <c r="C35" s="6" t="s">
        <v>40</v>
      </c>
      <c r="D35" s="5"/>
      <c r="E35" s="10"/>
      <c r="F35" s="7"/>
      <c r="G35" s="10"/>
      <c r="H35" s="7"/>
      <c r="I35" s="10"/>
      <c r="J35" s="5"/>
      <c r="K35" s="10"/>
      <c r="L35" s="7"/>
      <c r="M35" s="10"/>
      <c r="N35" s="7"/>
      <c r="O35" s="10"/>
    </row>
    <row r="36" spans="1:15">
      <c r="A36" s="381"/>
      <c r="B36" s="378"/>
      <c r="C36" s="23"/>
      <c r="D36" s="22"/>
      <c r="E36" s="25"/>
      <c r="F36" s="39"/>
      <c r="G36" s="25"/>
      <c r="H36" s="39"/>
      <c r="I36" s="25"/>
      <c r="J36" s="22"/>
      <c r="K36" s="25"/>
      <c r="L36" s="39"/>
      <c r="M36" s="25"/>
      <c r="N36" s="39"/>
      <c r="O36" s="25"/>
    </row>
    <row r="37" spans="1:15" ht="30" customHeight="1">
      <c r="A37" s="379" t="s">
        <v>13</v>
      </c>
      <c r="B37" s="376"/>
      <c r="C37" s="18" t="s">
        <v>41</v>
      </c>
      <c r="D37" s="5"/>
      <c r="E37" s="10"/>
      <c r="F37" s="7"/>
      <c r="G37" s="10"/>
      <c r="H37" s="7"/>
      <c r="I37" s="10"/>
      <c r="J37" s="5"/>
      <c r="K37" s="10"/>
      <c r="L37" s="7"/>
      <c r="M37" s="10"/>
      <c r="N37" s="7"/>
      <c r="O37" s="10"/>
    </row>
    <row r="38" spans="1:15">
      <c r="A38" s="380"/>
      <c r="B38" s="377"/>
      <c r="C38" s="6" t="s">
        <v>42</v>
      </c>
      <c r="D38" s="5"/>
      <c r="E38" s="10"/>
      <c r="F38" s="43"/>
      <c r="G38" s="9"/>
      <c r="H38" s="7"/>
      <c r="I38" s="10"/>
      <c r="J38" s="5"/>
      <c r="K38" s="10"/>
      <c r="L38" s="7"/>
      <c r="M38" s="10"/>
      <c r="N38" s="7"/>
      <c r="O38" s="10"/>
    </row>
    <row r="39" spans="1:15">
      <c r="A39" s="381"/>
      <c r="B39" s="378"/>
      <c r="C39" s="23"/>
      <c r="D39" s="22"/>
      <c r="E39" s="25"/>
      <c r="F39" s="22"/>
      <c r="G39" s="25"/>
      <c r="H39" s="39"/>
      <c r="I39" s="25"/>
      <c r="J39" s="22"/>
      <c r="K39" s="25"/>
      <c r="L39" s="39"/>
      <c r="M39" s="25"/>
      <c r="N39" s="39"/>
      <c r="O39" s="25"/>
    </row>
    <row r="40" spans="1:15">
      <c r="A40" s="385" t="s">
        <v>14</v>
      </c>
      <c r="B40" s="382"/>
      <c r="C40" s="6" t="s">
        <v>43</v>
      </c>
      <c r="D40" s="5"/>
      <c r="E40" s="10"/>
      <c r="F40" s="5"/>
      <c r="G40" s="10"/>
      <c r="H40" s="7"/>
      <c r="I40" s="10"/>
      <c r="J40" s="5"/>
      <c r="K40" s="10"/>
      <c r="L40" s="7"/>
      <c r="M40" s="10"/>
      <c r="N40" s="7"/>
      <c r="O40" s="10"/>
    </row>
    <row r="41" spans="1:15">
      <c r="A41" s="386"/>
      <c r="B41" s="384"/>
      <c r="C41" s="23"/>
      <c r="D41" s="22"/>
      <c r="E41" s="25"/>
      <c r="F41" s="22"/>
      <c r="G41" s="25"/>
      <c r="H41" s="39"/>
      <c r="I41" s="25"/>
      <c r="J41" s="22"/>
      <c r="K41" s="25"/>
      <c r="L41" s="39"/>
      <c r="M41" s="25"/>
      <c r="N41" s="39"/>
      <c r="O41" s="25"/>
    </row>
    <row r="42" spans="1:15">
      <c r="A42" s="379" t="s">
        <v>15</v>
      </c>
      <c r="B42" s="376"/>
      <c r="C42" s="6" t="s">
        <v>44</v>
      </c>
      <c r="D42" s="5"/>
      <c r="E42" s="10"/>
      <c r="F42" s="5"/>
      <c r="G42" s="10"/>
      <c r="H42" s="7"/>
      <c r="I42" s="10"/>
      <c r="J42" s="5"/>
      <c r="K42" s="10"/>
      <c r="L42" s="7"/>
      <c r="M42" s="10"/>
      <c r="N42" s="7"/>
      <c r="O42" s="10"/>
    </row>
    <row r="43" spans="1:15">
      <c r="A43" s="381"/>
      <c r="B43" s="378"/>
      <c r="C43" s="23"/>
      <c r="D43" s="22"/>
      <c r="E43" s="25"/>
      <c r="F43" s="22"/>
      <c r="G43" s="25"/>
      <c r="H43" s="39"/>
      <c r="I43" s="25"/>
      <c r="J43" s="22"/>
      <c r="K43" s="25"/>
      <c r="L43" s="39"/>
      <c r="M43" s="25"/>
      <c r="N43" s="39"/>
      <c r="O43" s="25"/>
    </row>
    <row r="44" spans="1:15" ht="30.75" customHeight="1">
      <c r="A44" s="379" t="s">
        <v>16</v>
      </c>
      <c r="B44" s="376"/>
      <c r="C44" s="18" t="s">
        <v>45</v>
      </c>
      <c r="D44" s="5"/>
      <c r="E44" s="10"/>
      <c r="F44" s="5"/>
      <c r="G44" s="10"/>
      <c r="H44" s="7"/>
      <c r="I44" s="10"/>
      <c r="J44" s="5"/>
      <c r="K44" s="10"/>
      <c r="L44" s="7"/>
      <c r="M44" s="10"/>
      <c r="N44" s="7"/>
      <c r="O44" s="10"/>
    </row>
    <row r="45" spans="1:15">
      <c r="A45" s="381"/>
      <c r="B45" s="378"/>
      <c r="C45" s="23"/>
      <c r="D45" s="22"/>
      <c r="E45" s="25"/>
      <c r="F45" s="22"/>
      <c r="G45" s="25"/>
      <c r="H45" s="39"/>
      <c r="I45" s="25"/>
      <c r="J45" s="22"/>
      <c r="K45" s="25"/>
      <c r="L45" s="39"/>
      <c r="M45" s="25"/>
      <c r="N45" s="39"/>
      <c r="O45" s="25"/>
    </row>
    <row r="46" spans="1:15" ht="30" customHeight="1">
      <c r="A46" s="379" t="s">
        <v>17</v>
      </c>
      <c r="B46" s="376"/>
      <c r="C46" s="19" t="s">
        <v>46</v>
      </c>
      <c r="D46" s="5"/>
      <c r="E46" s="10"/>
      <c r="F46" s="5"/>
      <c r="G46" s="10"/>
      <c r="H46" s="7"/>
      <c r="I46" s="10"/>
      <c r="J46" s="5"/>
      <c r="K46" s="10"/>
      <c r="L46" s="7"/>
      <c r="M46" s="10"/>
      <c r="N46" s="7"/>
      <c r="O46" s="10"/>
    </row>
    <row r="47" spans="1:15">
      <c r="A47" s="381"/>
      <c r="B47" s="378"/>
      <c r="C47" s="23"/>
      <c r="D47" s="22"/>
      <c r="E47" s="25"/>
      <c r="F47" s="22"/>
      <c r="G47" s="25"/>
      <c r="H47" s="39"/>
      <c r="I47" s="25"/>
      <c r="J47" s="22"/>
      <c r="K47" s="25"/>
      <c r="L47" s="39"/>
      <c r="M47" s="25"/>
      <c r="N47" s="39"/>
      <c r="O47" s="25"/>
    </row>
    <row r="48" spans="1:15">
      <c r="A48" s="379" t="s">
        <v>18</v>
      </c>
      <c r="B48" s="392"/>
      <c r="C48" s="6" t="s">
        <v>47</v>
      </c>
      <c r="D48" s="5"/>
      <c r="E48" s="10"/>
      <c r="F48" s="5"/>
      <c r="G48" s="10"/>
      <c r="H48" s="7"/>
      <c r="I48" s="10"/>
      <c r="J48" s="5"/>
      <c r="K48" s="10"/>
      <c r="L48" s="7"/>
      <c r="M48" s="10"/>
      <c r="N48" s="7"/>
      <c r="O48" s="10"/>
    </row>
    <row r="49" spans="1:16">
      <c r="A49" s="381"/>
      <c r="B49" s="393"/>
      <c r="C49" s="23"/>
      <c r="D49" s="22"/>
      <c r="E49" s="25"/>
      <c r="F49" s="22"/>
      <c r="G49" s="25"/>
      <c r="H49" s="39"/>
      <c r="I49" s="25"/>
      <c r="J49" s="22"/>
      <c r="K49" s="25"/>
      <c r="L49" s="39"/>
      <c r="M49" s="25"/>
      <c r="N49" s="39"/>
      <c r="O49" s="25"/>
    </row>
    <row r="50" spans="1:16">
      <c r="A50" s="379" t="s">
        <v>19</v>
      </c>
      <c r="B50" s="382"/>
      <c r="C50" s="10" t="s">
        <v>48</v>
      </c>
      <c r="D50" s="5"/>
      <c r="E50" s="10"/>
      <c r="F50" s="5"/>
      <c r="G50" s="10"/>
      <c r="H50" s="7"/>
      <c r="I50" s="10"/>
      <c r="J50" s="5"/>
      <c r="K50" s="10"/>
      <c r="L50" s="7"/>
      <c r="M50" s="10"/>
      <c r="N50" s="7"/>
      <c r="O50" s="10"/>
    </row>
    <row r="51" spans="1:16">
      <c r="A51" s="380"/>
      <c r="B51" s="383"/>
      <c r="C51" s="10" t="s">
        <v>49</v>
      </c>
      <c r="D51" s="5"/>
      <c r="E51" s="10"/>
      <c r="F51" s="5"/>
      <c r="G51" s="10"/>
      <c r="H51" s="7"/>
      <c r="I51" s="10"/>
      <c r="J51" s="5"/>
      <c r="K51" s="10"/>
      <c r="L51" s="7"/>
      <c r="M51" s="10"/>
      <c r="N51" s="7"/>
      <c r="O51" s="10"/>
    </row>
    <row r="52" spans="1:16">
      <c r="A52" s="380"/>
      <c r="B52" s="383"/>
      <c r="C52" s="10" t="s">
        <v>50</v>
      </c>
      <c r="D52" s="5"/>
      <c r="E52" s="10"/>
      <c r="F52" s="5"/>
      <c r="G52" s="10"/>
      <c r="H52" s="7"/>
      <c r="I52" s="10"/>
      <c r="J52" s="5"/>
      <c r="K52" s="10"/>
      <c r="L52" s="7"/>
      <c r="M52" s="10"/>
      <c r="N52" s="7"/>
      <c r="O52" s="10"/>
    </row>
    <row r="53" spans="1:16">
      <c r="A53" s="381"/>
      <c r="B53" s="384"/>
      <c r="C53" s="25"/>
      <c r="D53" s="22"/>
      <c r="E53" s="25"/>
      <c r="F53" s="22"/>
      <c r="G53" s="25"/>
      <c r="H53" s="39"/>
      <c r="I53" s="25"/>
      <c r="J53" s="22"/>
      <c r="K53" s="25"/>
      <c r="L53" s="39"/>
      <c r="M53" s="25"/>
      <c r="N53" s="39"/>
      <c r="O53" s="25"/>
    </row>
    <row r="54" spans="1:16" ht="31.5" customHeight="1">
      <c r="A54" s="394" t="s">
        <v>20</v>
      </c>
      <c r="B54" s="376"/>
      <c r="C54" s="28" t="s">
        <v>51</v>
      </c>
      <c r="D54" s="38"/>
      <c r="E54" s="52"/>
      <c r="F54" s="5"/>
      <c r="G54" s="10"/>
      <c r="H54" s="7"/>
      <c r="I54" s="10"/>
      <c r="J54" s="5"/>
      <c r="K54" s="10"/>
      <c r="L54" s="7"/>
      <c r="M54" s="10"/>
      <c r="N54" s="7"/>
      <c r="O54" s="10"/>
    </row>
    <row r="55" spans="1:16">
      <c r="A55" s="395"/>
      <c r="B55" s="378"/>
      <c r="C55" s="23"/>
      <c r="D55" s="39"/>
      <c r="E55" s="47"/>
      <c r="F55" s="30"/>
      <c r="G55" s="29"/>
      <c r="H55" s="67"/>
      <c r="I55" s="47"/>
      <c r="J55" s="30"/>
      <c r="K55" s="47"/>
      <c r="L55" s="67"/>
      <c r="M55" s="47"/>
      <c r="N55" s="39"/>
      <c r="O55" s="47"/>
    </row>
    <row r="56" spans="1:16">
      <c r="A56" s="379" t="s">
        <v>21</v>
      </c>
      <c r="B56" s="382"/>
      <c r="C56" s="20" t="s">
        <v>52</v>
      </c>
      <c r="D56" s="40"/>
      <c r="E56" s="48"/>
      <c r="F56" s="37"/>
      <c r="G56" s="36"/>
      <c r="H56" s="68"/>
      <c r="I56" s="48"/>
      <c r="J56" s="37"/>
      <c r="K56" s="48"/>
      <c r="L56" s="68"/>
      <c r="M56" s="48"/>
      <c r="N56" s="40"/>
      <c r="O56" s="70"/>
    </row>
    <row r="57" spans="1:16" ht="15.75" thickBot="1">
      <c r="A57" s="391"/>
      <c r="B57" s="390"/>
      <c r="C57" s="33"/>
      <c r="D57" s="54"/>
      <c r="E57" s="35"/>
      <c r="F57" s="34"/>
      <c r="G57" s="33"/>
      <c r="H57" s="69"/>
      <c r="I57" s="53"/>
      <c r="J57" s="34"/>
      <c r="K57" s="53"/>
      <c r="L57" s="69"/>
      <c r="M57" s="33"/>
      <c r="N57" s="69"/>
      <c r="O57" s="35"/>
      <c r="P57" s="11"/>
    </row>
    <row r="58" spans="1:16" ht="15.75" thickBot="1">
      <c r="A58" s="31"/>
      <c r="B58" s="12"/>
      <c r="C58" s="13"/>
      <c r="D58" s="32"/>
      <c r="E58" s="73"/>
      <c r="F58" s="32"/>
      <c r="G58" s="13"/>
      <c r="H58" s="32"/>
      <c r="I58" s="13"/>
      <c r="J58" s="32"/>
      <c r="K58" s="13"/>
      <c r="L58" s="32"/>
      <c r="M58" s="31"/>
      <c r="N58" s="71"/>
      <c r="O58" s="13"/>
    </row>
    <row r="59" spans="1:16" ht="15.75" thickBot="1">
      <c r="A59" s="42" t="s">
        <v>22</v>
      </c>
      <c r="B59" s="41"/>
      <c r="C59" s="74"/>
      <c r="D59" s="72"/>
      <c r="E59" s="14"/>
      <c r="F59" s="72"/>
      <c r="G59" s="14"/>
      <c r="H59" s="72"/>
      <c r="I59" s="14"/>
      <c r="J59" s="72"/>
      <c r="K59" s="14"/>
      <c r="L59" s="72"/>
      <c r="M59" s="49"/>
      <c r="N59" s="71"/>
      <c r="O59" s="14"/>
    </row>
    <row r="60" spans="1:16" ht="45" customHeight="1">
      <c r="B60" s="31"/>
      <c r="D60" s="2" t="s">
        <v>55</v>
      </c>
      <c r="E60" s="2" t="s">
        <v>56</v>
      </c>
      <c r="F60" s="2" t="s">
        <v>59</v>
      </c>
      <c r="G60" s="2" t="s">
        <v>74</v>
      </c>
      <c r="H60" s="2" t="s">
        <v>63</v>
      </c>
      <c r="I60" s="2" t="s">
        <v>60</v>
      </c>
      <c r="J60" s="2" t="s">
        <v>64</v>
      </c>
      <c r="K60" s="2" t="s">
        <v>65</v>
      </c>
      <c r="L60" s="2" t="s">
        <v>66</v>
      </c>
      <c r="M60" s="2" t="s">
        <v>67</v>
      </c>
      <c r="N60" s="2" t="s">
        <v>75</v>
      </c>
      <c r="O60" s="2" t="s">
        <v>75</v>
      </c>
    </row>
  </sheetData>
  <mergeCells count="38">
    <mergeCell ref="B56:B57"/>
    <mergeCell ref="A56:A57"/>
    <mergeCell ref="A48:A49"/>
    <mergeCell ref="B48:B49"/>
    <mergeCell ref="A50:A53"/>
    <mergeCell ref="B50:B53"/>
    <mergeCell ref="A54:A55"/>
    <mergeCell ref="B54:B55"/>
    <mergeCell ref="A42:A43"/>
    <mergeCell ref="B42:B43"/>
    <mergeCell ref="A44:A45"/>
    <mergeCell ref="B44:B45"/>
    <mergeCell ref="A46:A47"/>
    <mergeCell ref="B46:B47"/>
    <mergeCell ref="A35:A36"/>
    <mergeCell ref="B35:B36"/>
    <mergeCell ref="A37:A39"/>
    <mergeCell ref="B37:B39"/>
    <mergeCell ref="A40:A41"/>
    <mergeCell ref="B40:B41"/>
    <mergeCell ref="A20:A21"/>
    <mergeCell ref="B20:B21"/>
    <mergeCell ref="A22:A23"/>
    <mergeCell ref="B22:B23"/>
    <mergeCell ref="A26:A34"/>
    <mergeCell ref="B26:B34"/>
    <mergeCell ref="A24:A25"/>
    <mergeCell ref="B24:B25"/>
    <mergeCell ref="B3:B5"/>
    <mergeCell ref="A11:A16"/>
    <mergeCell ref="B11:B16"/>
    <mergeCell ref="A17:A19"/>
    <mergeCell ref="B17:B19"/>
    <mergeCell ref="A9:A10"/>
    <mergeCell ref="B9:B10"/>
    <mergeCell ref="A3:A5"/>
    <mergeCell ref="A6:A8"/>
    <mergeCell ref="B6:B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3 Alignments</vt:lpstr>
      <vt:lpstr>Impacts</vt:lpstr>
      <vt:lpstr>Displacements</vt:lpstr>
      <vt:lpstr>Summary</vt:lpstr>
      <vt:lpstr>Qualitative Matrix - Draft Alts</vt:lpstr>
      <vt:lpstr>Quantity Impacts</vt:lpstr>
      <vt:lpstr>Proposed Rating Legend</vt:lpstr>
      <vt:lpstr>Tech WorkshopQualitative Matrix</vt:lpstr>
      <vt:lpstr>2nd PM - Quantativ - Final Alts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Harper, Kristen E</dc:creator>
  <cp:lastModifiedBy>Harper, Kristen E</cp:lastModifiedBy>
  <cp:lastPrinted>2018-08-07T13:18:38Z</cp:lastPrinted>
  <dcterms:created xsi:type="dcterms:W3CDTF">2017-07-31T19:38:32Z</dcterms:created>
  <dcterms:modified xsi:type="dcterms:W3CDTF">2018-08-07T15:09:24Z</dcterms:modified>
</cp:coreProperties>
</file>